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9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goteborgssparvagaronline-my.sharepoint.com/personal/linda_rudenwall_sparvagen_goteborg_se/Documents/Skrivbordet/"/>
    </mc:Choice>
  </mc:AlternateContent>
  <xr:revisionPtr revIDLastSave="0" documentId="8_{2F8D11C5-DF62-4EFD-94A1-B679447412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TP 2024-2026" sheetId="1" r:id="rId1"/>
    <sheet name="Index" sheetId="10" state="hidden" r:id="rId2"/>
    <sheet name="Blad1" sheetId="9" state="hidden" r:id="rId3"/>
    <sheet name="Avskrivningar 2024-2026" sheetId="5" r:id="rId4"/>
    <sheet name="Avgående Projekt 2024-2026" sheetId="2" r:id="rId5"/>
    <sheet name="Permanent 2024-2026" sheetId="8" r:id="rId6"/>
    <sheet name="Tillkommande projekt 2024-2026" sheetId="7" r:id="rId7"/>
    <sheet name="Underhållskostnad per vagn typ " sheetId="11" r:id="rId8"/>
    <sheet name="Tabell" sheetId="6" state="hidden" r:id="rId9"/>
  </sheets>
  <definedNames>
    <definedName name="_xlnm._FilterDatabase" localSheetId="4" hidden="1">'Avgående Projekt 2024-2026'!$A$2:$D$98</definedName>
    <definedName name="_xlnm._FilterDatabase" localSheetId="5" hidden="1">'Permanent 2024-2026'!$A$2:$D$99</definedName>
    <definedName name="_xlnm._FilterDatabase" localSheetId="6" hidden="1">'Tillkommande projekt 2024-2026'!$A$2:$D$99</definedName>
    <definedName name="Externadata_1" localSheetId="8" hidden="1">Tabell!#REF!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1" l="1"/>
  <c r="E47" i="11"/>
  <c r="C47" i="11"/>
  <c r="B47" i="11"/>
  <c r="F46" i="11"/>
  <c r="E46" i="11"/>
  <c r="C46" i="11"/>
  <c r="B46" i="11"/>
  <c r="F45" i="11"/>
  <c r="E45" i="11"/>
  <c r="D45" i="11"/>
  <c r="C45" i="11"/>
  <c r="B45" i="11"/>
  <c r="E44" i="11"/>
  <c r="D44" i="11"/>
  <c r="C44" i="11"/>
  <c r="B44" i="11"/>
  <c r="H23" i="1"/>
  <c r="C4" i="8" l="1"/>
  <c r="D23" i="1"/>
  <c r="M9" i="8"/>
  <c r="F33" i="5" l="1"/>
  <c r="E33" i="5"/>
  <c r="D33" i="5"/>
  <c r="C25" i="8" l="1"/>
  <c r="F37" i="11" l="1"/>
  <c r="M37" i="11"/>
  <c r="T37" i="11"/>
  <c r="AA37" i="11"/>
  <c r="F38" i="11"/>
  <c r="M38" i="11"/>
  <c r="T38" i="11"/>
  <c r="AA38" i="11"/>
  <c r="F39" i="11"/>
  <c r="M39" i="11"/>
  <c r="T39" i="11"/>
  <c r="D46" i="11" s="1"/>
  <c r="AA39" i="11"/>
  <c r="D47" i="11" s="1"/>
  <c r="F40" i="11"/>
  <c r="M40" i="11"/>
  <c r="T40" i="11"/>
  <c r="AA40" i="11"/>
  <c r="M41" i="11"/>
  <c r="T41" i="11"/>
  <c r="AA41" i="11"/>
  <c r="B14" i="1" l="1"/>
  <c r="C13" i="8"/>
  <c r="C11" i="2"/>
  <c r="G13" i="5"/>
  <c r="E13" i="5"/>
  <c r="C13" i="5"/>
  <c r="H4" i="8"/>
  <c r="H4" i="7" l="1"/>
  <c r="M4" i="7"/>
  <c r="F68" i="1"/>
  <c r="F50" i="1"/>
  <c r="C8" i="2"/>
  <c r="C9" i="2"/>
  <c r="C6" i="7"/>
  <c r="C4" i="7"/>
  <c r="C5" i="2" l="1"/>
  <c r="C4" i="2"/>
  <c r="C3" i="2"/>
  <c r="I32" i="1" l="1"/>
  <c r="E45" i="1"/>
  <c r="E27" i="1"/>
  <c r="C33" i="1"/>
  <c r="H58" i="1"/>
  <c r="H59" i="1"/>
  <c r="H60" i="1"/>
  <c r="H61" i="1"/>
  <c r="H62" i="1"/>
  <c r="H64" i="1"/>
  <c r="H65" i="1"/>
  <c r="H66" i="1"/>
  <c r="H67" i="1"/>
  <c r="H57" i="1"/>
  <c r="G58" i="1"/>
  <c r="G59" i="1"/>
  <c r="G60" i="1"/>
  <c r="G61" i="1"/>
  <c r="G62" i="1"/>
  <c r="G64" i="1"/>
  <c r="G65" i="1"/>
  <c r="G66" i="1"/>
  <c r="G67" i="1"/>
  <c r="G57" i="1"/>
  <c r="H40" i="1"/>
  <c r="H41" i="1"/>
  <c r="H42" i="1"/>
  <c r="H43" i="1"/>
  <c r="H44" i="1"/>
  <c r="H46" i="1"/>
  <c r="H47" i="1"/>
  <c r="H48" i="1"/>
  <c r="H49" i="1"/>
  <c r="H39" i="1"/>
  <c r="G40" i="1"/>
  <c r="F58" i="1" s="1"/>
  <c r="G41" i="1"/>
  <c r="F59" i="1" s="1"/>
  <c r="G42" i="1"/>
  <c r="F60" i="1" s="1"/>
  <c r="G43" i="1"/>
  <c r="F61" i="1" s="1"/>
  <c r="G44" i="1"/>
  <c r="F62" i="1" s="1"/>
  <c r="G46" i="1"/>
  <c r="F64" i="1" s="1"/>
  <c r="G47" i="1"/>
  <c r="F65" i="1" s="1"/>
  <c r="G48" i="1"/>
  <c r="F66" i="1" s="1"/>
  <c r="G49" i="1"/>
  <c r="F67" i="1" s="1"/>
  <c r="G39" i="1"/>
  <c r="F57" i="1" s="1"/>
  <c r="H22" i="1"/>
  <c r="H24" i="1"/>
  <c r="H25" i="1"/>
  <c r="H26" i="1"/>
  <c r="H28" i="1"/>
  <c r="I28" i="1" s="1"/>
  <c r="H29" i="1"/>
  <c r="H30" i="1"/>
  <c r="H31" i="1"/>
  <c r="H21" i="1"/>
  <c r="G22" i="1"/>
  <c r="F40" i="1" s="1"/>
  <c r="G23" i="1"/>
  <c r="F41" i="1" s="1"/>
  <c r="G24" i="1"/>
  <c r="F42" i="1" s="1"/>
  <c r="G25" i="1"/>
  <c r="F43" i="1" s="1"/>
  <c r="G26" i="1"/>
  <c r="F44" i="1" s="1"/>
  <c r="G28" i="1"/>
  <c r="F46" i="1" s="1"/>
  <c r="G29" i="1"/>
  <c r="F47" i="1" s="1"/>
  <c r="G30" i="1"/>
  <c r="F48" i="1" s="1"/>
  <c r="G31" i="1"/>
  <c r="F49" i="1" s="1"/>
  <c r="G21" i="1"/>
  <c r="F39" i="1" s="1"/>
  <c r="F28" i="1"/>
  <c r="D28" i="1" s="1"/>
  <c r="F29" i="1"/>
  <c r="D29" i="1" s="1"/>
  <c r="F30" i="1"/>
  <c r="D30" i="1" s="1"/>
  <c r="F31" i="1"/>
  <c r="F23" i="1"/>
  <c r="F24" i="1"/>
  <c r="D24" i="1" s="1"/>
  <c r="F25" i="1"/>
  <c r="D25" i="1" s="1"/>
  <c r="F26" i="1"/>
  <c r="D26" i="1" s="1"/>
  <c r="F22" i="1"/>
  <c r="D22" i="1" s="1"/>
  <c r="F21" i="1"/>
  <c r="M100" i="8"/>
  <c r="H100" i="8"/>
  <c r="C100" i="8"/>
  <c r="B118" i="7"/>
  <c r="M100" i="7"/>
  <c r="H100" i="7"/>
  <c r="C100" i="7"/>
  <c r="D21" i="1" l="1"/>
  <c r="I21" i="1" s="1"/>
  <c r="F27" i="1"/>
  <c r="F33" i="1" s="1"/>
  <c r="G63" i="1"/>
  <c r="G69" i="1" s="1"/>
  <c r="H63" i="1"/>
  <c r="H69" i="1" s="1"/>
  <c r="F45" i="1"/>
  <c r="F51" i="1" s="1"/>
  <c r="F63" i="1"/>
  <c r="F69" i="1" s="1"/>
  <c r="I25" i="1"/>
  <c r="C6" i="1" s="1"/>
  <c r="G6" i="1" s="1"/>
  <c r="I26" i="1"/>
  <c r="G45" i="1"/>
  <c r="H45" i="1"/>
  <c r="H27" i="1"/>
  <c r="I24" i="1"/>
  <c r="C5" i="1" s="1"/>
  <c r="G5" i="1" s="1"/>
  <c r="G27" i="1"/>
  <c r="G33" i="1" s="1"/>
  <c r="I22" i="1"/>
  <c r="C3" i="1" s="1"/>
  <c r="G3" i="1" s="1"/>
  <c r="I23" i="1"/>
  <c r="I30" i="1"/>
  <c r="C48" i="1" s="1"/>
  <c r="D48" i="1" s="1"/>
  <c r="I29" i="1"/>
  <c r="C99" i="2"/>
  <c r="B113" i="2"/>
  <c r="H33" i="1" l="1"/>
  <c r="I27" i="1"/>
  <c r="I33" i="1" s="1"/>
  <c r="C2" i="1"/>
  <c r="G2" i="1" s="1"/>
  <c r="C39" i="1"/>
  <c r="C4" i="1"/>
  <c r="G4" i="1" s="1"/>
  <c r="D27" i="1"/>
  <c r="D33" i="1" s="1"/>
  <c r="E49" i="1"/>
  <c r="E51" i="1" s="1"/>
  <c r="E67" i="1"/>
  <c r="E31" i="1"/>
  <c r="I31" i="1" s="1"/>
  <c r="C12" i="1" s="1"/>
  <c r="G7" i="1" l="1"/>
  <c r="I48" i="1"/>
  <c r="C66" i="1" s="1"/>
  <c r="D66" i="1" s="1"/>
  <c r="C7" i="1"/>
  <c r="C44" i="1"/>
  <c r="C51" i="1" l="1"/>
  <c r="C14" i="1"/>
  <c r="D44" i="1"/>
  <c r="I44" i="1" s="1"/>
  <c r="C62" i="1" s="1"/>
  <c r="G51" i="1"/>
  <c r="H51" i="1"/>
  <c r="E33" i="1"/>
  <c r="C17" i="1" l="1"/>
  <c r="C15" i="1"/>
  <c r="C18" i="1"/>
  <c r="D7" i="1"/>
  <c r="D39" i="1"/>
  <c r="I39" i="1" s="1"/>
  <c r="D2" i="1" s="1"/>
  <c r="D62" i="1"/>
  <c r="I62" i="1" s="1"/>
  <c r="E7" i="1" s="1"/>
  <c r="E69" i="1"/>
  <c r="C11" i="1" l="1"/>
  <c r="C49" i="1"/>
  <c r="C40" i="1"/>
  <c r="C50" i="1"/>
  <c r="I50" i="1" s="1"/>
  <c r="C68" i="1" s="1"/>
  <c r="C13" i="1"/>
  <c r="C43" i="1"/>
  <c r="C41" i="1"/>
  <c r="C57" i="1"/>
  <c r="D57" i="1" s="1"/>
  <c r="C9" i="1"/>
  <c r="C46" i="1"/>
  <c r="D46" i="1" s="1"/>
  <c r="C10" i="1"/>
  <c r="C47" i="1"/>
  <c r="D47" i="1" s="1"/>
  <c r="C42" i="1"/>
  <c r="D42" i="1" l="1"/>
  <c r="I42" i="1" s="1"/>
  <c r="D5" i="1" s="1"/>
  <c r="D41" i="1"/>
  <c r="I41" i="1" s="1"/>
  <c r="C59" i="1" s="1"/>
  <c r="D43" i="1"/>
  <c r="I43" i="1" s="1"/>
  <c r="D6" i="1" s="1"/>
  <c r="D40" i="1"/>
  <c r="I40" i="1" s="1"/>
  <c r="D3" i="1" s="1"/>
  <c r="I47" i="1"/>
  <c r="I57" i="1"/>
  <c r="I46" i="1"/>
  <c r="C64" i="1" s="1"/>
  <c r="D64" i="1" s="1"/>
  <c r="D13" i="1"/>
  <c r="I49" i="1"/>
  <c r="D12" i="1" s="1"/>
  <c r="I68" i="1"/>
  <c r="E13" i="1" s="1"/>
  <c r="D11" i="1"/>
  <c r="C60" i="1" l="1"/>
  <c r="D60" i="1" s="1"/>
  <c r="D4" i="1"/>
  <c r="C58" i="1"/>
  <c r="D58" i="1" s="1"/>
  <c r="I58" i="1" s="1"/>
  <c r="E3" i="1" s="1"/>
  <c r="C61" i="1"/>
  <c r="D61" i="1" s="1"/>
  <c r="I61" i="1" s="1"/>
  <c r="E6" i="1" s="1"/>
  <c r="D59" i="1"/>
  <c r="I59" i="1" s="1"/>
  <c r="E4" i="1" s="1"/>
  <c r="D10" i="1"/>
  <c r="C65" i="1"/>
  <c r="D65" i="1" s="1"/>
  <c r="I64" i="1"/>
  <c r="E9" i="1" s="1"/>
  <c r="D9" i="1"/>
  <c r="E2" i="1"/>
  <c r="C67" i="1"/>
  <c r="C8" i="1"/>
  <c r="C45" i="1"/>
  <c r="D45" i="1" s="1"/>
  <c r="I60" i="1" l="1"/>
  <c r="E5" i="1" s="1"/>
  <c r="I67" i="1"/>
  <c r="E12" i="1" s="1"/>
  <c r="I45" i="1"/>
  <c r="I65" i="1"/>
  <c r="E10" i="1" s="1"/>
  <c r="C16" i="1" l="1"/>
  <c r="D51" i="1"/>
  <c r="D8" i="1"/>
  <c r="C63" i="1"/>
  <c r="D63" i="1" s="1"/>
  <c r="D69" i="1" s="1"/>
  <c r="I63" i="1" l="1"/>
  <c r="E8" i="1" s="1"/>
  <c r="I51" i="1"/>
  <c r="I66" i="1" l="1"/>
  <c r="E11" i="1" s="1"/>
  <c r="C69" i="1"/>
  <c r="D14" i="1"/>
  <c r="D17" i="1" s="1"/>
  <c r="D18" i="1" l="1"/>
  <c r="D15" i="1"/>
  <c r="D16" i="1"/>
  <c r="I69" i="1" l="1"/>
  <c r="E14" i="1" s="1"/>
  <c r="E16" i="1" l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tc={82C2862C-6002-40FB-834C-0350CDBA1764}</author>
  </authors>
  <commentList>
    <comment ref="D8" authorId="0" shapeId="0" xr:uid="{82C2862C-6002-40FB-834C-0350CDBA1764}">
      <text>
        <t>[Trådad kommentar]
I din version av Excel kan du läsa den här trådade kommentaren, men eventuella ändringar i den tas bort om filen öppnas i en senare version av Excel. Läs mer: https://go.microsoft.com/fwlink/?linkid=870924
Kommentar:
    8 tjänst. 42 kollektiv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Ljupcho Stojanoski</author>
  </authors>
  <commentList>
    <comment ref="C36" authorId="0" shapeId="0" xr:uid="{F97422B4-26F3-4F50-AA4E-62E08E92D2B7}">
      <text>
        <r>
          <rPr>
            <b/>
            <sz val="9"/>
            <color indexed="81"/>
            <rFont val="Tahoma"/>
            <family val="2"/>
          </rPr>
          <t>Ljupcho Stojanoski:</t>
        </r>
        <r>
          <rPr>
            <sz val="9"/>
            <color indexed="81"/>
            <rFont val="Tahoma"/>
            <family val="2"/>
          </rPr>
          <t xml:space="preserve">
Bolags gemensamma kostnader</t>
        </r>
      </text>
    </comment>
    <comment ref="D36" authorId="0" shapeId="0" xr:uid="{908DE33D-650C-43AC-9D0C-1FDBFF2AAC2F}">
      <text>
        <r>
          <rPr>
            <b/>
            <sz val="9"/>
            <color indexed="81"/>
            <rFont val="Tahoma"/>
            <family val="2"/>
          </rPr>
          <t xml:space="preserve">Ljupcho Stojanoski:
</t>
        </r>
        <r>
          <rPr>
            <sz val="9"/>
            <color indexed="81"/>
            <rFont val="Tahoma"/>
            <family val="2"/>
          </rPr>
          <t>Avdelningens totala kostnader</t>
        </r>
      </text>
    </comment>
    <comment ref="J36" authorId="0" shapeId="0" xr:uid="{CBEB7202-383B-403B-9404-0886BE083C4F}">
      <text>
        <r>
          <rPr>
            <b/>
            <sz val="9"/>
            <color indexed="81"/>
            <rFont val="Tahoma"/>
            <family val="2"/>
          </rPr>
          <t>Ljupcho Stojanoski:</t>
        </r>
        <r>
          <rPr>
            <sz val="9"/>
            <color indexed="81"/>
            <rFont val="Tahoma"/>
            <family val="2"/>
          </rPr>
          <t xml:space="preserve">
Bolags gemensamma kostnader</t>
        </r>
      </text>
    </comment>
    <comment ref="K36" authorId="0" shapeId="0" xr:uid="{7D56A346-BCC9-4B92-9E37-DBD3A7C25CF2}">
      <text>
        <r>
          <rPr>
            <b/>
            <sz val="9"/>
            <color indexed="81"/>
            <rFont val="Tahoma"/>
            <family val="2"/>
          </rPr>
          <t xml:space="preserve">Ljupcho Stojanoski:
</t>
        </r>
        <r>
          <rPr>
            <sz val="9"/>
            <color indexed="81"/>
            <rFont val="Tahoma"/>
            <family val="2"/>
          </rPr>
          <t>Avdelningens totala kostnader</t>
        </r>
      </text>
    </comment>
    <comment ref="Q36" authorId="0" shapeId="0" xr:uid="{966E810E-A023-4993-9A2E-F162C45056D1}">
      <text>
        <r>
          <rPr>
            <b/>
            <sz val="9"/>
            <color indexed="81"/>
            <rFont val="Tahoma"/>
            <family val="2"/>
          </rPr>
          <t>Ljupcho Stojanoski:</t>
        </r>
        <r>
          <rPr>
            <sz val="9"/>
            <color indexed="81"/>
            <rFont val="Tahoma"/>
            <family val="2"/>
          </rPr>
          <t xml:space="preserve">
Bolags gemensamma kostnader</t>
        </r>
      </text>
    </comment>
    <comment ref="R36" authorId="0" shapeId="0" xr:uid="{473A6A8C-93F6-433B-8931-8E8132062C9E}">
      <text>
        <r>
          <rPr>
            <b/>
            <sz val="9"/>
            <color indexed="81"/>
            <rFont val="Tahoma"/>
            <family val="2"/>
          </rPr>
          <t xml:space="preserve">Ljupcho Stojanoski:
</t>
        </r>
        <r>
          <rPr>
            <sz val="9"/>
            <color indexed="81"/>
            <rFont val="Tahoma"/>
            <family val="2"/>
          </rPr>
          <t>Avdelningens totala kostnader</t>
        </r>
      </text>
    </comment>
    <comment ref="X36" authorId="0" shapeId="0" xr:uid="{7EFBC7F1-64D0-4D20-8525-2E08A2A41DD4}">
      <text>
        <r>
          <rPr>
            <b/>
            <sz val="9"/>
            <color indexed="81"/>
            <rFont val="Tahoma"/>
            <family val="2"/>
          </rPr>
          <t>Ljupcho Stojanoski:</t>
        </r>
        <r>
          <rPr>
            <sz val="9"/>
            <color indexed="81"/>
            <rFont val="Tahoma"/>
            <family val="2"/>
          </rPr>
          <t xml:space="preserve">
Bolags gemensamma kostnader</t>
        </r>
      </text>
    </comment>
    <comment ref="Y36" authorId="0" shapeId="0" xr:uid="{ACB1238E-555B-4040-A03E-FFAEC3737DDE}">
      <text>
        <r>
          <rPr>
            <b/>
            <sz val="9"/>
            <color indexed="81"/>
            <rFont val="Tahoma"/>
            <family val="2"/>
          </rPr>
          <t xml:space="preserve">Ljupcho Stojanoski:
</t>
        </r>
        <r>
          <rPr>
            <sz val="9"/>
            <color indexed="81"/>
            <rFont val="Tahoma"/>
            <family val="2"/>
          </rPr>
          <t>Avdelningens totala kostnader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369CCB-219E-40CC-9662-D01B7276C693}" keepAlive="1" name="Fråga - Tabell" description="Anslutning till Tabell-frågan i arbetsboken." type="5" refreshedVersion="7" background="1" saveData="1">
    <dbPr connection="Provider=Microsoft.Mashup.OleDb.1;Data Source=$Workbook$;Location=Tabell;Extended Properties=&quot;&quot;" command="SELECT * FROM [Tabell]"/>
  </connection>
</connections>
</file>

<file path=xl/sharedStrings.xml><?xml version="1.0" encoding="utf-8"?>
<sst xmlns="http://schemas.openxmlformats.org/spreadsheetml/2006/main" count="629" uniqueCount="178">
  <si>
    <t>Långtidsprognos, Trafikavtalet 2024-2026 (tkr)</t>
  </si>
  <si>
    <t>Budget 2023</t>
  </si>
  <si>
    <t>LTP 2024</t>
  </si>
  <si>
    <t>LTP 2025</t>
  </si>
  <si>
    <t>LTP 2026</t>
  </si>
  <si>
    <t>Ökning fordonsrelaterat 2023-2024</t>
  </si>
  <si>
    <t>M29</t>
  </si>
  <si>
    <t>M31</t>
  </si>
  <si>
    <t>M32</t>
  </si>
  <si>
    <t>M33</t>
  </si>
  <si>
    <t>M34</t>
  </si>
  <si>
    <r>
      <t xml:space="preserve">Drift material o tjänster, </t>
    </r>
    <r>
      <rPr>
        <b/>
        <i/>
        <sz val="10"/>
        <color theme="1"/>
        <rFont val="Calibri"/>
        <family val="2"/>
        <scheme val="minor"/>
      </rPr>
      <t>övrigt</t>
    </r>
  </si>
  <si>
    <t>TOTALT</t>
  </si>
  <si>
    <t>DRIFT MATERIAL TJÄNSTER</t>
  </si>
  <si>
    <t>LOKALKOSTNADER</t>
  </si>
  <si>
    <t>ÖVRIGA KOSTNADER</t>
  </si>
  <si>
    <t>PERSONALKOSTNADER</t>
  </si>
  <si>
    <t>AVSKRIVNINGAR</t>
  </si>
  <si>
    <t>Övrigt-Övrigt</t>
  </si>
  <si>
    <t>SUMMA KOSTNADER</t>
  </si>
  <si>
    <t>Förändring mot föregående år</t>
  </si>
  <si>
    <t>Procentuell förändring mot fg år</t>
  </si>
  <si>
    <t>Förändring mot föregående LTP</t>
  </si>
  <si>
    <t>-</t>
  </si>
  <si>
    <t>Procentuell förändring mot föreg LTP</t>
  </si>
  <si>
    <t>Långtidsprognos, Trafikavtalet 2024 (tkr)</t>
  </si>
  <si>
    <t>Index 2%</t>
  </si>
  <si>
    <t>Förändring Avskrivningar 2024</t>
  </si>
  <si>
    <t>Avgående Projekt 2024</t>
  </si>
  <si>
    <t>Tillkommande projekt 2024</t>
  </si>
  <si>
    <t>Permanent</t>
  </si>
  <si>
    <t>LTP för 2024</t>
  </si>
  <si>
    <t>Drift material o tjänster, övrigt</t>
  </si>
  <si>
    <t>DRIFT MATERIAL TJÄNSTER SUM</t>
  </si>
  <si>
    <t>Långtidsprognos, Trafikavtalet 2025 (tkr)</t>
  </si>
  <si>
    <t>Förändring avskrivningar 2025</t>
  </si>
  <si>
    <t>Avgående Projekt 2025</t>
  </si>
  <si>
    <t>Tillkommande projekt 2025</t>
  </si>
  <si>
    <t>LTP för 2025</t>
  </si>
  <si>
    <t>Långtidsprognos, Trafikavtalet 2026 (tkr)</t>
  </si>
  <si>
    <t>Förändring avskrivningar 2026</t>
  </si>
  <si>
    <t>Avgående Projekt 2026</t>
  </si>
  <si>
    <t>Tillkommande projekt 2026</t>
  </si>
  <si>
    <t>LTP för 2026</t>
  </si>
  <si>
    <t>Avdelning</t>
  </si>
  <si>
    <t>2024</t>
  </si>
  <si>
    <t>Beskrivning 2024</t>
  </si>
  <si>
    <t>2025</t>
  </si>
  <si>
    <t>Beskrivning 2025</t>
  </si>
  <si>
    <t>2026</t>
  </si>
  <si>
    <t>Beskrivning 2026</t>
  </si>
  <si>
    <t>Styrning och Ledning</t>
  </si>
  <si>
    <t>Ledning och kommunikation</t>
  </si>
  <si>
    <t>SKIP och förbättring</t>
  </si>
  <si>
    <t>HR och Kultur</t>
  </si>
  <si>
    <t>Ekonomi och upphandling</t>
  </si>
  <si>
    <t>Marknad och produkt</t>
  </si>
  <si>
    <t>Trafikledning och information</t>
  </si>
  <si>
    <t>Trafikpersonal och service</t>
  </si>
  <si>
    <t>Infrastruktur och driftsäkring</t>
  </si>
  <si>
    <t>Fordon och driftsäkring</t>
  </si>
  <si>
    <t>Övrigt</t>
  </si>
  <si>
    <t>Summa</t>
  </si>
  <si>
    <t>I ovan siffror finns förändringar från redan aktiverade anläggningar.</t>
  </si>
  <si>
    <r>
      <t xml:space="preserve">NYINVESTERINGAR </t>
    </r>
    <r>
      <rPr>
        <b/>
        <sz val="10"/>
        <color theme="0"/>
        <rFont val="Arial"/>
        <family val="2"/>
      </rPr>
      <t>(mnkr)</t>
    </r>
  </si>
  <si>
    <t xml:space="preserve">Kategori     1-3 </t>
  </si>
  <si>
    <t>Nya kontorsstolar TLI</t>
  </si>
  <si>
    <t>Teknisk utredningsstöd vid olycksplats</t>
  </si>
  <si>
    <t>Simulator-system</t>
  </si>
  <si>
    <t>UH-system utveckling (EAM)</t>
  </si>
  <si>
    <t>Rangersystem &amp; RFID Depå Ringön Etapp II</t>
  </si>
  <si>
    <t>Uppgradering Hastus del 1</t>
  </si>
  <si>
    <t>Uppgradering Hastus del 2</t>
  </si>
  <si>
    <t>IT-säkerhet (SIEM &amp; IDS)</t>
  </si>
  <si>
    <t>Dammsugare och rör installationer SP19 sandstation och Fordonstvätten MX</t>
  </si>
  <si>
    <t>Cetraldammsugare verkstad MX</t>
  </si>
  <si>
    <t>Anpassning städplatser MX</t>
  </si>
  <si>
    <t xml:space="preserve">SUMMA NYINVESTERINGAR </t>
  </si>
  <si>
    <t>Kontogrupp</t>
  </si>
  <si>
    <t>Belopp (tkr)</t>
  </si>
  <si>
    <t>Beskrivning</t>
  </si>
  <si>
    <t>Livsförlägning och tångbromsar</t>
  </si>
  <si>
    <t>Underhållsplan plus coatinggolv och revision handikappramp</t>
  </si>
  <si>
    <t>Underhållsplan  plus artikulationsleder</t>
  </si>
  <si>
    <t>Fordonsdelar</t>
  </si>
  <si>
    <t>2 FTE komp. verkstad el-mek</t>
  </si>
  <si>
    <t>M33 Integrering och Ny Depå (1378)</t>
  </si>
  <si>
    <t>Ny spårvagn och depå</t>
  </si>
  <si>
    <t>Säkerhet: Konsult för hantering av utökat uppdrag inom civilt försvar, Krishantering, Säkerhetsskydd</t>
  </si>
  <si>
    <t>Utbildningskostnad för SIQ oc processarbetet</t>
  </si>
  <si>
    <t>BI konsult, integration IT system</t>
  </si>
  <si>
    <t xml:space="preserve">Ombyggnad av "utandningsprov" inför nytt </t>
  </si>
  <si>
    <t>DHS -&gt; FDS</t>
  </si>
  <si>
    <t>Implementation M34 fas3</t>
  </si>
  <si>
    <t xml:space="preserve">Lägre konsultkostander </t>
  </si>
  <si>
    <t>FL-IT Ekonomi/Kvalitet , konsultväxling 2023</t>
  </si>
  <si>
    <t xml:space="preserve"> Konsultväxling 2024 (permanent ligger personalkostn motsv 1 mnkr)</t>
  </si>
  <si>
    <t>Konsultväxling 2024 (permanent ligger personalkostn motsv 1 mnkr)</t>
  </si>
  <si>
    <t>Integration Cityworks Infrastruktur</t>
  </si>
  <si>
    <t>Integration Hjulmätn. till EAM</t>
  </si>
  <si>
    <t>ITSM utveckling</t>
  </si>
  <si>
    <t>Extern PL/förvaltningsledare Ekonomi, Q1</t>
  </si>
  <si>
    <t>Depånära system</t>
  </si>
  <si>
    <t>Trafikalt stöd</t>
  </si>
  <si>
    <t>Tillfälliga medel 2023</t>
  </si>
  <si>
    <t>mnkr</t>
  </si>
  <si>
    <t>SKIP</t>
  </si>
  <si>
    <t>Ledning o kommunikation</t>
  </si>
  <si>
    <t>Ekonomi o upphandling</t>
  </si>
  <si>
    <t>Totalt</t>
  </si>
  <si>
    <t xml:space="preserve"> </t>
  </si>
  <si>
    <t>Kolumn1</t>
  </si>
  <si>
    <t>0,5% produktionsökning</t>
  </si>
  <si>
    <t>5% produktionsökning, nya linjer (Lindholmsallén)</t>
  </si>
  <si>
    <t>Lönejusteringar förare</t>
  </si>
  <si>
    <t>Uppsida MX avgång i samband utrangering M29 (8FTE)</t>
  </si>
  <si>
    <t>Uppsida lönesatsning förare</t>
  </si>
  <si>
    <t>Ev. uppsida nedstängning av SLX, BLG fråga</t>
  </si>
  <si>
    <t xml:space="preserve">1 FTE enhet Internsäkerhet,miljösatsning. </t>
  </si>
  <si>
    <t>Underhållsplan</t>
  </si>
  <si>
    <t>2 FTE fastighet RÖX Q1</t>
  </si>
  <si>
    <t>Depå RÖX 37 FTE</t>
  </si>
  <si>
    <t>RÖX2 mellaskillnad 2024-2025</t>
  </si>
  <si>
    <t>Uppsida komponentverkstad i samband med utrangering M29 (12fte)</t>
  </si>
  <si>
    <t>Gruppchef</t>
  </si>
  <si>
    <t>Lokalvård Ringön, köpt tjänst</t>
  </si>
  <si>
    <t>Drift, skötsel, underhåll spåranläggn Ringön</t>
  </si>
  <si>
    <t>Snöröjning av depå Ringön</t>
  </si>
  <si>
    <t>Hyra Ringön 63070, media 6mkr</t>
  </si>
  <si>
    <t>Material och lokalanpassningar Ringön etapp II</t>
  </si>
  <si>
    <t>Dyrare elpriser (150 öre/kWh) - stor osäkerhet</t>
  </si>
  <si>
    <t>Uniformsutökning</t>
  </si>
  <si>
    <t>Konsultväxling 2023, minuspost finns på avgående projekt</t>
  </si>
  <si>
    <t>Konsultväxling 2024, minuspost finns på avgående projekt</t>
  </si>
  <si>
    <t>PL  (pension)</t>
  </si>
  <si>
    <t xml:space="preserve">IoT-nätverkskostnad </t>
  </si>
  <si>
    <t>BI-plattform, licens och drift</t>
  </si>
  <si>
    <t>Licenskostnader, ITSM</t>
  </si>
  <si>
    <t>Rangersystem &amp; RFID Depå Ringön Etap2. Service &amp; support på plattform</t>
  </si>
  <si>
    <t xml:space="preserve">IT-säkerhet (SIEM &amp; IDS), Cybersäk+infosäk </t>
  </si>
  <si>
    <t>DSO krav kryptering Service Now</t>
  </si>
  <si>
    <t>SIQ avgift</t>
  </si>
  <si>
    <t>Driftkostnad kameraövervakning</t>
  </si>
  <si>
    <t>Ny spårvagn och depå (1370)</t>
  </si>
  <si>
    <t>M31 sekundär fjädring 160st</t>
  </si>
  <si>
    <t xml:space="preserve">M32 Artikulationsleder </t>
  </si>
  <si>
    <t>M31 Linjebrytare</t>
  </si>
  <si>
    <t>M31+M32 Coating golv</t>
  </si>
  <si>
    <t>livsförlägning/driftsäkring</t>
  </si>
  <si>
    <t xml:space="preserve">M32 1080 underhåll </t>
  </si>
  <si>
    <t xml:space="preserve">120 tångbromsar </t>
  </si>
  <si>
    <t>sekundär fjädring 160st</t>
  </si>
  <si>
    <t>Revisonsbyte chevroner</t>
  </si>
  <si>
    <t xml:space="preserve">Revision handikappramp </t>
  </si>
  <si>
    <t>M29 livsförlägning/driftsäkring</t>
  </si>
  <si>
    <t>Lackskydd utsida</t>
  </si>
  <si>
    <t>Linjebrytare</t>
  </si>
  <si>
    <t>LK revision</t>
  </si>
  <si>
    <t xml:space="preserve">Ultraljud Drivaxlar </t>
  </si>
  <si>
    <t>Statisk omriktare</t>
  </si>
  <si>
    <t>Lås takluckor</t>
  </si>
  <si>
    <t xml:space="preserve"> 1080 underhåll </t>
  </si>
  <si>
    <t>Bromssköldar teknisk förändring löpande</t>
  </si>
  <si>
    <t>Handikappsramp</t>
  </si>
  <si>
    <t>Utrangering M29</t>
  </si>
  <si>
    <t>M31 Chevroner</t>
  </si>
  <si>
    <t>Rostrevision</t>
  </si>
  <si>
    <t xml:space="preserve">Fartkontaktor Till motorboggi </t>
  </si>
  <si>
    <t>Driftsäkring</t>
  </si>
  <si>
    <t>Kontaktrevison</t>
  </si>
  <si>
    <t>Rullplan, balkkontrolle, a-satser= ej analyserat</t>
  </si>
  <si>
    <r>
      <rPr>
        <b/>
        <u/>
        <sz val="11"/>
        <rFont val="Calibri"/>
        <family val="2"/>
        <scheme val="minor"/>
      </rPr>
      <t>Direkt</t>
    </r>
    <r>
      <rPr>
        <sz val="11"/>
        <rFont val="Calibri"/>
        <family val="2"/>
        <scheme val="minor"/>
      </rPr>
      <t xml:space="preserve"> underhållskostnad per vagnstyp och km</t>
    </r>
  </si>
  <si>
    <r>
      <rPr>
        <b/>
        <u/>
        <sz val="11"/>
        <rFont val="Calibri"/>
        <family val="2"/>
        <scheme val="minor"/>
      </rPr>
      <t>Indirekt</t>
    </r>
    <r>
      <rPr>
        <sz val="11"/>
        <rFont val="Calibri"/>
        <family val="2"/>
        <scheme val="minor"/>
      </rPr>
      <t xml:space="preserve"> underhållskostnad per vagnstyp och km OH1 </t>
    </r>
  </si>
  <si>
    <t>Underhållskostnad per vagnstyp och km ink. OH2</t>
  </si>
  <si>
    <t xml:space="preserve">Elkostnad per vagntyp/ kilometerkostnad </t>
  </si>
  <si>
    <r>
      <rPr>
        <b/>
        <u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driftskostnad per</t>
    </r>
    <r>
      <rPr>
        <sz val="11"/>
        <color theme="1"/>
        <rFont val="Calibri"/>
        <family val="2"/>
        <scheme val="minor"/>
      </rPr>
      <t xml:space="preserve"> vagntyp</t>
    </r>
  </si>
  <si>
    <t>Kolumn2</t>
  </si>
  <si>
    <t>Underhållsplan ökas med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</si>
</sst>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4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8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9"/>
      <color rgb="FF000000"/>
      <name val="Century Gothic"/>
      <family val="2"/>
    </font>
    <font>
      <sz val="11"/>
      <color rgb="FFFF0000"/>
      <name val="Calibri"/>
      <family val="2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sz val="11"/>
      <color rgb="FF444444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</patternFill>
    </fill>
    <fill>
      <patternFill patternType="solid">
        <fgColor rgb="FF00B5C8"/>
        <bgColor indexed="64"/>
      </patternFill>
    </fill>
    <fill>
      <patternFill patternType="solid">
        <fgColor rgb="FFF68222"/>
        <bgColor indexed="64"/>
      </patternFill>
    </fill>
    <fill>
      <patternFill patternType="solid">
        <fgColor rgb="FFD1D9D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2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A9D08E"/>
      </top>
      <bottom style="thin">
        <color rgb="FFA9D08E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/>
      <top style="thin">
        <color rgb="FFA9D08E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30" fillId="7" borderId="0" applyNumberFormat="0" applyBorder="0" applyAlignment="0" applyProtection="0"/>
    <xf numFmtId="0" fontId="33" fillId="0" borderId="0"/>
  </cellStyleXfs>
  <cellXfs count="111">
    <xf numFmtId="0" fontId="0" fillId="0" borderId="0" xfId="0"/>
    <xf numFmtId="0" fontId="1" fillId="0" borderId="0" xfId="1"/>
    <xf numFmtId="3" fontId="2" fillId="0" borderId="1" xfId="0" applyNumberFormat="1" applyFont="1" applyBorder="1"/>
    <xf numFmtId="0" fontId="1" fillId="0" borderId="0" xfId="0" applyFont="1"/>
    <xf numFmtId="3" fontId="3" fillId="0" borderId="1" xfId="1" applyNumberFormat="1" applyFont="1" applyBorder="1" applyAlignment="1">
      <alignment horizontal="left"/>
    </xf>
    <xf numFmtId="3" fontId="1" fillId="0" borderId="1" xfId="1" applyNumberFormat="1" applyBorder="1"/>
    <xf numFmtId="3" fontId="4" fillId="0" borderId="1" xfId="1" applyNumberFormat="1" applyFont="1" applyBorder="1"/>
    <xf numFmtId="0" fontId="1" fillId="0" borderId="1" xfId="1" applyBorder="1"/>
    <xf numFmtId="3" fontId="6" fillId="0" borderId="0" xfId="1" applyNumberFormat="1" applyFont="1"/>
    <xf numFmtId="3" fontId="2" fillId="0" borderId="2" xfId="0" applyNumberFormat="1" applyFont="1" applyBorder="1"/>
    <xf numFmtId="0" fontId="7" fillId="0" borderId="0" xfId="0" applyFont="1"/>
    <xf numFmtId="49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5" fillId="2" borderId="1" xfId="0" applyNumberFormat="1" applyFont="1" applyFill="1" applyBorder="1"/>
    <xf numFmtId="3" fontId="4" fillId="2" borderId="1" xfId="1" applyNumberFormat="1" applyFont="1" applyFill="1" applyBorder="1"/>
    <xf numFmtId="3" fontId="8" fillId="0" borderId="1" xfId="1" applyNumberFormat="1" applyFont="1" applyBorder="1"/>
    <xf numFmtId="3" fontId="3" fillId="0" borderId="1" xfId="1" applyNumberFormat="1" applyFont="1" applyBorder="1"/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2" fillId="0" borderId="0" xfId="0" applyFont="1"/>
    <xf numFmtId="3" fontId="1" fillId="0" borderId="5" xfId="1" applyNumberFormat="1" applyBorder="1"/>
    <xf numFmtId="3" fontId="4" fillId="0" borderId="5" xfId="1" applyNumberFormat="1" applyFont="1" applyBorder="1"/>
    <xf numFmtId="3" fontId="1" fillId="0" borderId="4" xfId="1" applyNumberFormat="1" applyBorder="1"/>
    <xf numFmtId="3" fontId="5" fillId="3" borderId="6" xfId="0" applyNumberFormat="1" applyFont="1" applyFill="1" applyBorder="1" applyAlignment="1">
      <alignment wrapText="1"/>
    </xf>
    <xf numFmtId="3" fontId="5" fillId="3" borderId="7" xfId="0" applyNumberFormat="1" applyFont="1" applyFill="1" applyBorder="1" applyAlignment="1">
      <alignment wrapText="1"/>
    </xf>
    <xf numFmtId="3" fontId="5" fillId="3" borderId="8" xfId="0" applyNumberFormat="1" applyFont="1" applyFill="1" applyBorder="1" applyAlignment="1">
      <alignment wrapText="1"/>
    </xf>
    <xf numFmtId="3" fontId="1" fillId="0" borderId="9" xfId="1" applyNumberFormat="1" applyBorder="1"/>
    <xf numFmtId="3" fontId="8" fillId="0" borderId="10" xfId="1" applyNumberFormat="1" applyFont="1" applyBorder="1"/>
    <xf numFmtId="3" fontId="1" fillId="0" borderId="10" xfId="1" applyNumberFormat="1" applyBorder="1"/>
    <xf numFmtId="3" fontId="1" fillId="0" borderId="11" xfId="1" applyNumberFormat="1" applyBorder="1"/>
    <xf numFmtId="3" fontId="13" fillId="2" borderId="1" xfId="0" applyNumberFormat="1" applyFont="1" applyFill="1" applyBorder="1"/>
    <xf numFmtId="0" fontId="12" fillId="0" borderId="12" xfId="0" applyFont="1" applyBorder="1"/>
    <xf numFmtId="3" fontId="12" fillId="0" borderId="10" xfId="0" applyNumberFormat="1" applyFont="1" applyBorder="1"/>
    <xf numFmtId="3" fontId="12" fillId="0" borderId="11" xfId="0" applyNumberFormat="1" applyFont="1" applyBorder="1"/>
    <xf numFmtId="0" fontId="14" fillId="0" borderId="12" xfId="0" applyFont="1" applyBorder="1"/>
    <xf numFmtId="3" fontId="14" fillId="0" borderId="11" xfId="0" applyNumberFormat="1" applyFont="1" applyBorder="1"/>
    <xf numFmtId="3" fontId="14" fillId="0" borderId="10" xfId="0" applyNumberFormat="1" applyFont="1" applyBorder="1"/>
    <xf numFmtId="3" fontId="14" fillId="2" borderId="6" xfId="0" applyNumberFormat="1" applyFont="1" applyFill="1" applyBorder="1" applyAlignment="1">
      <alignment wrapText="1"/>
    </xf>
    <xf numFmtId="0" fontId="14" fillId="2" borderId="13" xfId="0" applyFont="1" applyFill="1" applyBorder="1" applyAlignment="1">
      <alignment horizontal="center"/>
    </xf>
    <xf numFmtId="3" fontId="1" fillId="0" borderId="9" xfId="0" applyNumberFormat="1" applyFont="1" applyBorder="1"/>
    <xf numFmtId="3" fontId="8" fillId="0" borderId="10" xfId="0" applyNumberFormat="1" applyFont="1" applyBorder="1"/>
    <xf numFmtId="3" fontId="1" fillId="0" borderId="10" xfId="0" applyNumberFormat="1" applyFont="1" applyBorder="1"/>
    <xf numFmtId="3" fontId="1" fillId="0" borderId="11" xfId="0" applyNumberFormat="1" applyFont="1" applyBorder="1"/>
    <xf numFmtId="3" fontId="15" fillId="0" borderId="1" xfId="1" applyNumberFormat="1" applyFont="1" applyBorder="1"/>
    <xf numFmtId="3" fontId="15" fillId="0" borderId="4" xfId="1" applyNumberFormat="1" applyFont="1" applyBorder="1"/>
    <xf numFmtId="3" fontId="15" fillId="0" borderId="5" xfId="1" applyNumberFormat="1" applyFont="1" applyBorder="1"/>
    <xf numFmtId="3" fontId="8" fillId="0" borderId="7" xfId="1" applyNumberFormat="1" applyFont="1" applyBorder="1"/>
    <xf numFmtId="0" fontId="16" fillId="4" borderId="14" xfId="0" applyFont="1" applyFill="1" applyBorder="1"/>
    <xf numFmtId="0" fontId="16" fillId="0" borderId="14" xfId="0" applyFont="1" applyBorder="1"/>
    <xf numFmtId="3" fontId="17" fillId="0" borderId="1" xfId="1" applyNumberFormat="1" applyFont="1" applyBorder="1"/>
    <xf numFmtId="3" fontId="1" fillId="0" borderId="0" xfId="0" applyNumberFormat="1" applyFont="1"/>
    <xf numFmtId="0" fontId="8" fillId="0" borderId="0" xfId="0" applyFont="1"/>
    <xf numFmtId="0" fontId="18" fillId="0" borderId="0" xfId="0" applyFont="1"/>
    <xf numFmtId="0" fontId="11" fillId="0" borderId="0" xfId="0" applyFont="1"/>
    <xf numFmtId="3" fontId="2" fillId="0" borderId="1" xfId="0" applyNumberFormat="1" applyFont="1" applyBorder="1" applyAlignment="1">
      <alignment horizontal="center"/>
    </xf>
    <xf numFmtId="0" fontId="19" fillId="0" borderId="1" xfId="0" applyFont="1" applyBorder="1"/>
    <xf numFmtId="9" fontId="20" fillId="0" borderId="1" xfId="0" applyNumberFormat="1" applyFont="1" applyBorder="1"/>
    <xf numFmtId="3" fontId="6" fillId="0" borderId="1" xfId="1" applyNumberFormat="1" applyFont="1" applyBorder="1"/>
    <xf numFmtId="9" fontId="1" fillId="0" borderId="0" xfId="0" applyNumberFormat="1" applyFont="1"/>
    <xf numFmtId="1" fontId="22" fillId="0" borderId="0" xfId="0" applyNumberFormat="1" applyFont="1"/>
    <xf numFmtId="0" fontId="23" fillId="0" borderId="0" xfId="0" applyFont="1"/>
    <xf numFmtId="0" fontId="23" fillId="0" borderId="15" xfId="0" applyFont="1" applyBorder="1" applyAlignment="1">
      <alignment vertical="center"/>
    </xf>
    <xf numFmtId="0" fontId="16" fillId="0" borderId="0" xfId="0" applyFont="1"/>
    <xf numFmtId="0" fontId="6" fillId="0" borderId="0" xfId="0" applyFont="1"/>
    <xf numFmtId="3" fontId="15" fillId="0" borderId="0" xfId="0" applyNumberFormat="1" applyFont="1"/>
    <xf numFmtId="3" fontId="6" fillId="0" borderId="0" xfId="0" applyNumberFormat="1" applyFont="1"/>
    <xf numFmtId="0" fontId="1" fillId="0" borderId="0" xfId="0" applyFont="1" applyAlignment="1">
      <alignment horizontal="right"/>
    </xf>
    <xf numFmtId="3" fontId="1" fillId="5" borderId="1" xfId="1" applyNumberFormat="1" applyFill="1" applyBorder="1"/>
    <xf numFmtId="164" fontId="3" fillId="5" borderId="1" xfId="0" applyNumberFormat="1" applyFont="1" applyFill="1" applyBorder="1"/>
    <xf numFmtId="0" fontId="3" fillId="5" borderId="1" xfId="1" applyFont="1" applyFill="1" applyBorder="1"/>
    <xf numFmtId="0" fontId="3" fillId="5" borderId="1" xfId="0" applyFont="1" applyFill="1" applyBorder="1"/>
    <xf numFmtId="3" fontId="1" fillId="0" borderId="7" xfId="1" applyNumberFormat="1" applyBorder="1"/>
    <xf numFmtId="3" fontId="1" fillId="0" borderId="18" xfId="1" applyNumberFormat="1" applyBorder="1"/>
    <xf numFmtId="3" fontId="17" fillId="0" borderId="5" xfId="1" applyNumberFormat="1" applyFont="1" applyBorder="1"/>
    <xf numFmtId="3" fontId="21" fillId="0" borderId="19" xfId="0" applyNumberFormat="1" applyFont="1" applyBorder="1"/>
    <xf numFmtId="0" fontId="21" fillId="0" borderId="19" xfId="0" applyFont="1" applyBorder="1"/>
    <xf numFmtId="3" fontId="1" fillId="0" borderId="19" xfId="1" applyNumberFormat="1" applyBorder="1"/>
    <xf numFmtId="3" fontId="17" fillId="0" borderId="4" xfId="1" applyNumberFormat="1" applyFont="1" applyBorder="1"/>
    <xf numFmtId="0" fontId="12" fillId="0" borderId="9" xfId="0" applyFont="1" applyBorder="1"/>
    <xf numFmtId="9" fontId="8" fillId="0" borderId="0" xfId="0" applyNumberFormat="1" applyFont="1"/>
    <xf numFmtId="3" fontId="3" fillId="5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0" fontId="16" fillId="0" borderId="17" xfId="0" applyFont="1" applyBorder="1"/>
    <xf numFmtId="3" fontId="8" fillId="0" borderId="5" xfId="1" applyNumberFormat="1" applyFont="1" applyBorder="1"/>
    <xf numFmtId="0" fontId="22" fillId="0" borderId="0" xfId="0" applyFont="1"/>
    <xf numFmtId="0" fontId="21" fillId="0" borderId="0" xfId="0" applyFont="1"/>
    <xf numFmtId="3" fontId="21" fillId="0" borderId="16" xfId="0" applyNumberFormat="1" applyFont="1" applyBorder="1"/>
    <xf numFmtId="0" fontId="24" fillId="0" borderId="0" xfId="0" applyFont="1"/>
    <xf numFmtId="3" fontId="2" fillId="0" borderId="9" xfId="0" applyNumberFormat="1" applyFont="1" applyBorder="1" applyAlignment="1">
      <alignment wrapText="1"/>
    </xf>
    <xf numFmtId="0" fontId="0" fillId="6" borderId="1" xfId="0" applyFill="1" applyBorder="1"/>
    <xf numFmtId="0" fontId="12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3" fontId="12" fillId="6" borderId="1" xfId="0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wrapText="1"/>
    </xf>
    <xf numFmtId="0" fontId="31" fillId="8" borderId="4" xfId="0" applyFont="1" applyFill="1" applyBorder="1" applyAlignment="1" applyProtection="1">
      <alignment horizontal="center"/>
      <protection locked="0"/>
    </xf>
    <xf numFmtId="165" fontId="29" fillId="0" borderId="1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3" fontId="36" fillId="0" borderId="1" xfId="0" applyNumberFormat="1" applyFont="1" applyBorder="1" applyAlignment="1" applyProtection="1">
      <alignment horizontal="center"/>
      <protection locked="0"/>
    </xf>
    <xf numFmtId="165" fontId="18" fillId="0" borderId="1" xfId="0" applyNumberFormat="1" applyFont="1" applyBorder="1" applyAlignment="1">
      <alignment horizontal="center"/>
    </xf>
    <xf numFmtId="0" fontId="35" fillId="10" borderId="1" xfId="0" applyFont="1" applyFill="1" applyBorder="1" applyAlignment="1">
      <alignment vertical="center" wrapText="1"/>
    </xf>
    <xf numFmtId="3" fontId="37" fillId="10" borderId="1" xfId="0" applyNumberFormat="1" applyFont="1" applyFill="1" applyBorder="1" applyAlignment="1">
      <alignment horizontal="center" vertical="top" wrapText="1"/>
    </xf>
    <xf numFmtId="3" fontId="38" fillId="10" borderId="1" xfId="0" applyNumberFormat="1" applyFont="1" applyFill="1" applyBorder="1" applyAlignment="1">
      <alignment horizontal="center" vertical="top" wrapText="1"/>
    </xf>
    <xf numFmtId="0" fontId="12" fillId="0" borderId="1" xfId="1" applyFont="1" applyBorder="1" applyAlignment="1">
      <alignment horizontal="left" wrapText="1"/>
    </xf>
    <xf numFmtId="0" fontId="31" fillId="8" borderId="1" xfId="0" applyFont="1" applyFill="1" applyBorder="1" applyAlignment="1" applyProtection="1">
      <alignment horizontal="center"/>
      <protection locked="0"/>
    </xf>
    <xf numFmtId="0" fontId="34" fillId="9" borderId="1" xfId="2" applyFont="1" applyFill="1" applyBorder="1" applyAlignment="1" applyProtection="1">
      <alignment horizontal="center" vertical="top" wrapText="1"/>
      <protection locked="0"/>
    </xf>
    <xf numFmtId="0" fontId="39" fillId="0" borderId="0" xfId="0" applyFont="1"/>
    <xf numFmtId="3" fontId="5" fillId="3" borderId="18" xfId="0" applyNumberFormat="1" applyFont="1" applyFill="1" applyBorder="1" applyAlignment="1">
      <alignment wrapText="1"/>
    </xf>
    <xf numFmtId="0" fontId="0" fillId="0" borderId="20" xfId="0" applyBorder="1"/>
    <xf numFmtId="0" fontId="40" fillId="0" borderId="0" xfId="0" applyFont="1"/>
    <xf numFmtId="0" fontId="10" fillId="0" borderId="3" xfId="0" applyFont="1" applyBorder="1" applyAlignment="1">
      <alignment horizontal="center"/>
    </xf>
  </cellXfs>
  <cellStyles count="4">
    <cellStyle name="Dekorfärg6" xfId="2" builtinId="49"/>
    <cellStyle name="Normal" xfId="0" builtinId="0"/>
    <cellStyle name="Normal 2" xfId="3" xr:uid="{2515ABF0-ECFC-41F1-A2DD-915902612A86}"/>
    <cellStyle name="Normal 3" xfId="1" xr:uid="{DE50D033-9E73-4B80-A533-C2415332A551}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/>
              <a:t>Förändring totala kostnader Trafikavtalet </a:t>
            </a:r>
            <a:br>
              <a:rPr lang="sv-SE" sz="1200"/>
            </a:br>
            <a:r>
              <a:rPr lang="sv-SE" sz="1200"/>
              <a:t>2023-2026 (tkr)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'LTP 2024-2026'!$A$14</c:f>
              <c:strCache>
                <c:ptCount val="1"/>
                <c:pt idx="0">
                  <c:v>SUMMA KOSTNADER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'LTP 2024-2026'!$B$1:$E$1</c:f>
              <c:strCache>
                <c:ptCount val="4"/>
                <c:pt idx="0">
                  <c:v>Budget 2023</c:v>
                </c:pt>
                <c:pt idx="1">
                  <c:v>LTP 2024</c:v>
                </c:pt>
                <c:pt idx="2">
                  <c:v>LTP 2025</c:v>
                </c:pt>
                <c:pt idx="3">
                  <c:v>LTP 2026</c:v>
                </c:pt>
              </c:strCache>
            </c:strRef>
          </c:cat>
          <c:val>
            <c:numRef>
              <c:f>'LTP 2024-2026'!$B$14:$E$14</c:f>
              <c:numCache>
                <c:formatCode>#,##0</c:formatCode>
                <c:ptCount val="4"/>
                <c:pt idx="0">
                  <c:v>1050364.9950388884</c:v>
                </c:pt>
                <c:pt idx="1">
                  <c:v>1276000.912599666</c:v>
                </c:pt>
                <c:pt idx="2">
                  <c:v>1327686.5379249929</c:v>
                </c:pt>
                <c:pt idx="3">
                  <c:v>1351776.0846380261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3-450A-A64D-1ADD57DD5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9223064"/>
        <c:axId val="679219128"/>
      </c:barChart>
      <c:lineChart>
        <c:grouping val="standard"/>
        <c:varyColors val="0"/>
        <c:ser>
          <c:idx val="1"/>
          <c:order val="1"/>
          <c:tx>
            <c:strRef>
              <c:f>'LTP 2024-2026'!$A$16</c:f>
              <c:strCache>
                <c:ptCount val="1"/>
                <c:pt idx="0">
                  <c:v>Procentuell förändring mot fg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'LTP 2024-2026'!$B$1:$E$1</c:f>
              <c:strCache>
                <c:ptCount val="4"/>
                <c:pt idx="0">
                  <c:v>Budget 2023</c:v>
                </c:pt>
                <c:pt idx="1">
                  <c:v>LTP 2024</c:v>
                </c:pt>
                <c:pt idx="2">
                  <c:v>LTP 2025</c:v>
                </c:pt>
                <c:pt idx="3">
                  <c:v>LTP 2026</c:v>
                </c:pt>
              </c:strCache>
            </c:strRef>
          </c:cat>
          <c:val>
            <c:numRef>
              <c:f>'LTP 2024-2026'!$B$16:$E$16</c:f>
              <c:numCache>
                <c:formatCode>0.0%</c:formatCode>
                <c:ptCount val="4"/>
                <c:pt idx="0">
                  <c:v>0.1056</c:v>
                </c:pt>
                <c:pt idx="1">
                  <c:v>0.2148166767042953</c:v>
                </c:pt>
                <c:pt idx="2">
                  <c:v>4.0505946990292405E-2</c:v>
                </c:pt>
                <c:pt idx="3">
                  <c:v>1.8144001633610112E-2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3-450A-A64D-1ADD57DD5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217816"/>
        <c:axId val="679224376"/>
      </c:lineChart>
      <c:catAx>
        <c:axId val="679223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9219128"/>
        <c:crosses val="autoZero"/>
        <c:auto val="1"/>
        <c:lblAlgn val="ctr"/>
        <c:lblOffset val="100"/>
        <c:noMultiLvlLbl val="0"/>
      </c:catAx>
      <c:valAx>
        <c:axId val="679219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9223064"/>
        <c:crosses val="autoZero"/>
        <c:crossBetween val="between"/>
      </c:valAx>
      <c:valAx>
        <c:axId val="679224376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9217816"/>
        <c:crosses val="max"/>
        <c:crossBetween val="between"/>
      </c:valAx>
      <c:catAx>
        <c:axId val="6792178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79224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/>
              <a:t>Förändring direkta</a:t>
            </a:r>
            <a:r>
              <a:rPr lang="sv-SE" sz="1200" baseline="0"/>
              <a:t> materialkostnader fordonsunderhåll 2023-2026 (tkr)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'LTP 2024-2026'!$B$1</c:f>
              <c:strCache>
                <c:ptCount val="1"/>
                <c:pt idx="0">
                  <c:v>Budget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'LTP 2024-2026'!$A$2:$A$6</c:f>
              <c:strCache>
                <c:ptCount val="5"/>
                <c:pt idx="0">
                  <c:v>M29</c:v>
                </c:pt>
                <c:pt idx="1">
                  <c:v>M31</c:v>
                </c:pt>
                <c:pt idx="2">
                  <c:v>M32</c:v>
                </c:pt>
                <c:pt idx="3">
                  <c:v>M33</c:v>
                </c:pt>
                <c:pt idx="4">
                  <c:v>M34</c:v>
                </c:pt>
              </c:strCache>
            </c:strRef>
          </c:cat>
          <c:val>
            <c:numRef>
              <c:f>'LTP 2024-2026'!$B$2:$B$6</c:f>
              <c:numCache>
                <c:formatCode>#,##0</c:formatCode>
                <c:ptCount val="5"/>
                <c:pt idx="0">
                  <c:v>20498</c:v>
                </c:pt>
                <c:pt idx="1">
                  <c:v>35596</c:v>
                </c:pt>
                <c:pt idx="2">
                  <c:v>57883</c:v>
                </c:pt>
                <c:pt idx="3">
                  <c:v>24300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5-43A3-9521-94D7D10A7813}"/>
            </c:ext>
          </c:extLst>
        </c:ser>
        <c:ser>
          <c:idx val="1"/>
          <c:order val="1"/>
          <c:tx>
            <c:strRef>
              <c:f>'LTP 2024-2026'!$C$1</c:f>
              <c:strCache>
                <c:ptCount val="1"/>
                <c:pt idx="0">
                  <c:v>LTP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'LTP 2024-2026'!$A$2:$A$6</c:f>
              <c:strCache>
                <c:ptCount val="5"/>
                <c:pt idx="0">
                  <c:v>M29</c:v>
                </c:pt>
                <c:pt idx="1">
                  <c:v>M31</c:v>
                </c:pt>
                <c:pt idx="2">
                  <c:v>M32</c:v>
                </c:pt>
                <c:pt idx="3">
                  <c:v>M33</c:v>
                </c:pt>
                <c:pt idx="4">
                  <c:v>M34</c:v>
                </c:pt>
              </c:strCache>
            </c:strRef>
          </c:cat>
          <c:val>
            <c:numRef>
              <c:f>'LTP 2024-2026'!$C$2:$C$6</c:f>
              <c:numCache>
                <c:formatCode>#,##0</c:formatCode>
                <c:ptCount val="5"/>
                <c:pt idx="0">
                  <c:v>38217.96</c:v>
                </c:pt>
                <c:pt idx="1">
                  <c:v>47443.92</c:v>
                </c:pt>
                <c:pt idx="2">
                  <c:v>86937.66</c:v>
                </c:pt>
                <c:pt idx="3">
                  <c:v>24300</c:v>
                </c:pt>
                <c:pt idx="4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A5-43A3-9521-94D7D10A7813}"/>
            </c:ext>
          </c:extLst>
        </c:ser>
        <c:ser>
          <c:idx val="2"/>
          <c:order val="2"/>
          <c:tx>
            <c:strRef>
              <c:f>'LTP 2024-2026'!$D$1</c:f>
              <c:strCache>
                <c:ptCount val="1"/>
                <c:pt idx="0">
                  <c:v>LTP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'LTP 2024-2026'!$A$2:$A$6</c:f>
              <c:strCache>
                <c:ptCount val="5"/>
                <c:pt idx="0">
                  <c:v>M29</c:v>
                </c:pt>
                <c:pt idx="1">
                  <c:v>M31</c:v>
                </c:pt>
                <c:pt idx="2">
                  <c:v>M32</c:v>
                </c:pt>
                <c:pt idx="3">
                  <c:v>M33</c:v>
                </c:pt>
                <c:pt idx="4">
                  <c:v>M34</c:v>
                </c:pt>
              </c:strCache>
            </c:strRef>
          </c:cat>
          <c:val>
            <c:numRef>
              <c:f>'LTP 2024-2026'!$D$2:$D$6</c:f>
              <c:numCache>
                <c:formatCode>#,##0</c:formatCode>
                <c:ptCount val="5"/>
                <c:pt idx="0">
                  <c:v>28544.319199999998</c:v>
                </c:pt>
                <c:pt idx="1">
                  <c:v>44032.358399999997</c:v>
                </c:pt>
                <c:pt idx="2">
                  <c:v>94877.213199999998</c:v>
                </c:pt>
                <c:pt idx="3">
                  <c:v>24786</c:v>
                </c:pt>
                <c:pt idx="4">
                  <c:v>10100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A5-43A3-9521-94D7D10A7813}"/>
            </c:ext>
          </c:extLst>
        </c:ser>
        <c:ser>
          <c:idx val="3"/>
          <c:order val="3"/>
          <c:tx>
            <c:strRef>
              <c:f>'LTP 2024-2026'!$E$1</c:f>
              <c:strCache>
                <c:ptCount val="1"/>
                <c:pt idx="0">
                  <c:v>LTP 2026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'LTP 2024-2026'!$A$2:$A$6</c:f>
              <c:strCache>
                <c:ptCount val="5"/>
                <c:pt idx="0">
                  <c:v>M29</c:v>
                </c:pt>
                <c:pt idx="1">
                  <c:v>M31</c:v>
                </c:pt>
                <c:pt idx="2">
                  <c:v>M32</c:v>
                </c:pt>
                <c:pt idx="3">
                  <c:v>M33</c:v>
                </c:pt>
                <c:pt idx="4">
                  <c:v>M34</c:v>
                </c:pt>
              </c:strCache>
            </c:strRef>
          </c:cat>
          <c:val>
            <c:numRef>
              <c:f>'LTP 2024-2026'!$E$2:$E$6</c:f>
              <c:numCache>
                <c:formatCode>#,##0</c:formatCode>
                <c:ptCount val="5"/>
                <c:pt idx="0">
                  <c:v>23977.205583999999</c:v>
                </c:pt>
                <c:pt idx="1">
                  <c:v>42483.565567999998</c:v>
                </c:pt>
                <c:pt idx="2">
                  <c:v>96545.557463999998</c:v>
                </c:pt>
                <c:pt idx="3">
                  <c:v>25281.72</c:v>
                </c:pt>
                <c:pt idx="4">
                  <c:v>15302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A5-43A3-9521-94D7D10A7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4082096"/>
        <c:axId val="794077832"/>
      </c:barChart>
      <c:catAx>
        <c:axId val="79408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4077832"/>
        <c:crosses val="autoZero"/>
        <c:auto val="1"/>
        <c:lblAlgn val="ctr"/>
        <c:lblOffset val="100"/>
        <c:noMultiLvlLbl val="0"/>
      </c:catAx>
      <c:valAx>
        <c:axId val="79407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408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5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sz="1500" b="0" i="0" baseline="0">
                <a:effectLst/>
              </a:rPr>
              <a:t>Total driftskostnad per vagntyp, </a:t>
            </a:r>
            <a:r>
              <a:rPr lang="sv-SE" sz="1500" b="1" i="0" baseline="0">
                <a:effectLst/>
              </a:rPr>
              <a:t>2023-2026 </a:t>
            </a:r>
            <a:r>
              <a:rPr lang="sv-SE" sz="1500" b="0" i="0" baseline="0">
                <a:effectLst/>
              </a:rPr>
              <a:t>(kr/km)</a:t>
            </a:r>
            <a:endParaRPr lang="sv-SE" sz="15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5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'Underhållskostnad per vagn typ '!$A$44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'Underhållskostnad per vagn typ '!$B$43:$F$43</c:f>
              <c:strCache>
                <c:ptCount val="5"/>
                <c:pt idx="0">
                  <c:v>M29</c:v>
                </c:pt>
                <c:pt idx="1">
                  <c:v>M31</c:v>
                </c:pt>
                <c:pt idx="2">
                  <c:v>M32</c:v>
                </c:pt>
                <c:pt idx="3">
                  <c:v>M33</c:v>
                </c:pt>
                <c:pt idx="4">
                  <c:v>M34</c:v>
                </c:pt>
              </c:strCache>
            </c:strRef>
          </c:cat>
          <c:val>
            <c:numRef>
              <c:f>'Underhållskostnad per vagn typ '!$B$44:$F$44</c:f>
              <c:numCache>
                <c:formatCode>#,##0</c:formatCode>
                <c:ptCount val="5"/>
                <c:pt idx="0">
                  <c:v>47.633212336664101</c:v>
                </c:pt>
                <c:pt idx="1">
                  <c:v>23.115496052245742</c:v>
                </c:pt>
                <c:pt idx="2">
                  <c:v>44.900328333757557</c:v>
                </c:pt>
                <c:pt idx="3">
                  <c:v>21.16151003591585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07-4C38-A43B-6E1B56275F1F}"/>
            </c:ext>
          </c:extLst>
        </c:ser>
        <c:ser>
          <c:idx val="1"/>
          <c:order val="1"/>
          <c:tx>
            <c:strRef>
              <c:f>'Underhållskostnad per vagn typ '!$A$45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'Underhållskostnad per vagn typ '!$B$43:$F$43</c:f>
              <c:strCache>
                <c:ptCount val="5"/>
                <c:pt idx="0">
                  <c:v>M29</c:v>
                </c:pt>
                <c:pt idx="1">
                  <c:v>M31</c:v>
                </c:pt>
                <c:pt idx="2">
                  <c:v>M32</c:v>
                </c:pt>
                <c:pt idx="3">
                  <c:v>M33</c:v>
                </c:pt>
                <c:pt idx="4">
                  <c:v>M34</c:v>
                </c:pt>
              </c:strCache>
            </c:strRef>
          </c:cat>
          <c:val>
            <c:numRef>
              <c:f>'Underhållskostnad per vagn typ '!$B$45:$F$45</c:f>
              <c:numCache>
                <c:formatCode>#,##0</c:formatCode>
                <c:ptCount val="5"/>
                <c:pt idx="0">
                  <c:v>85.587989906859789</c:v>
                </c:pt>
                <c:pt idx="1">
                  <c:v>32.268794921058628</c:v>
                </c:pt>
                <c:pt idx="2">
                  <c:v>62.232219760030432</c:v>
                </c:pt>
                <c:pt idx="3">
                  <c:v>21.950894638909823</c:v>
                </c:pt>
                <c:pt idx="4">
                  <c:v>46.926077647783252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07-4C38-A43B-6E1B56275F1F}"/>
            </c:ext>
          </c:extLst>
        </c:ser>
        <c:ser>
          <c:idx val="2"/>
          <c:order val="2"/>
          <c:tx>
            <c:strRef>
              <c:f>'Underhållskostnad per vagn typ '!$A$46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'Underhållskostnad per vagn typ '!$B$43:$F$43</c:f>
              <c:strCache>
                <c:ptCount val="5"/>
                <c:pt idx="0">
                  <c:v>M29</c:v>
                </c:pt>
                <c:pt idx="1">
                  <c:v>M31</c:v>
                </c:pt>
                <c:pt idx="2">
                  <c:v>M32</c:v>
                </c:pt>
                <c:pt idx="3">
                  <c:v>M33</c:v>
                </c:pt>
                <c:pt idx="4">
                  <c:v>M34</c:v>
                </c:pt>
              </c:strCache>
            </c:strRef>
          </c:cat>
          <c:val>
            <c:numRef>
              <c:f>'Underhållskostnad per vagn typ '!$B$46:$F$46</c:f>
              <c:numCache>
                <c:formatCode>#,##0</c:formatCode>
                <c:ptCount val="5"/>
                <c:pt idx="0">
                  <c:v>63.923792445111886</c:v>
                </c:pt>
                <c:pt idx="1">
                  <c:v>31.938477732208234</c:v>
                </c:pt>
                <c:pt idx="2">
                  <c:v>86.397224200912717</c:v>
                </c:pt>
                <c:pt idx="3">
                  <c:v>25.846213598327285</c:v>
                </c:pt>
                <c:pt idx="4">
                  <c:v>23.256758612349692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07-4C38-A43B-6E1B56275F1F}"/>
            </c:ext>
          </c:extLst>
        </c:ser>
        <c:ser>
          <c:idx val="3"/>
          <c:order val="3"/>
          <c:tx>
            <c:strRef>
              <c:f>'Underhållskostnad per vagn typ '!$A$47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'Underhållskostnad per vagn typ '!$B$43:$F$43</c:f>
              <c:strCache>
                <c:ptCount val="5"/>
                <c:pt idx="0">
                  <c:v>M29</c:v>
                </c:pt>
                <c:pt idx="1">
                  <c:v>M31</c:v>
                </c:pt>
                <c:pt idx="2">
                  <c:v>M32</c:v>
                </c:pt>
                <c:pt idx="3">
                  <c:v>M33</c:v>
                </c:pt>
                <c:pt idx="4">
                  <c:v>M34</c:v>
                </c:pt>
              </c:strCache>
            </c:strRef>
          </c:cat>
          <c:val>
            <c:numRef>
              <c:f>'Underhållskostnad per vagn typ '!$B$47:$F$47</c:f>
              <c:numCache>
                <c:formatCode>#,##0</c:formatCode>
                <c:ptCount val="5"/>
                <c:pt idx="0">
                  <c:v>117.15876107494759</c:v>
                </c:pt>
                <c:pt idx="1">
                  <c:v>30.333665144709673</c:v>
                </c:pt>
                <c:pt idx="2">
                  <c:v>87.55798816519426</c:v>
                </c:pt>
                <c:pt idx="3">
                  <c:v>24.499527785281344</c:v>
                </c:pt>
                <c:pt idx="4">
                  <c:v>19.2223569960404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07-4C38-A43B-6E1B56275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21022376"/>
        <c:axId val="921020080"/>
      </c:barChart>
      <c:catAx>
        <c:axId val="921022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21020080"/>
        <c:crosses val="autoZero"/>
        <c:auto val="1"/>
        <c:lblAlgn val="ctr"/>
        <c:lblOffset val="100"/>
        <c:noMultiLvlLbl val="0"/>
      </c:catAx>
      <c:valAx>
        <c:axId val="92102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21022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sz="1800" b="0" i="0" baseline="0">
                <a:effectLst/>
              </a:rPr>
              <a:t>Total driftskostnad per vagntyp, </a:t>
            </a:r>
            <a:r>
              <a:rPr lang="sv-SE" sz="1800" b="1" i="0" baseline="0">
                <a:effectLst/>
              </a:rPr>
              <a:t>2023 </a:t>
            </a:r>
            <a:r>
              <a:rPr lang="sv-SE" sz="1800" b="0" i="0" baseline="0">
                <a:effectLst/>
              </a:rPr>
              <a:t>(kr/km)</a:t>
            </a:r>
            <a:endParaRPr lang="sv-SE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'Underhållskostnad per vagn typ '!$A$37</c:f>
              <c:strCache>
                <c:ptCount val="1"/>
                <c:pt idx="0">
                  <c:v>M29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'Underhållskostnad per vagn typ '!$B$36:$F$36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'!$B$37:$F$37</c:f>
              <c:numCache>
                <c:formatCode>#,##0</c:formatCode>
                <c:ptCount val="5"/>
                <c:pt idx="0">
                  <c:v>16.109055587165567</c:v>
                </c:pt>
                <c:pt idx="1">
                  <c:v>10.343435087278051</c:v>
                </c:pt>
                <c:pt idx="2">
                  <c:v>17.884376834634271</c:v>
                </c:pt>
                <c:pt idx="3">
                  <c:v>3.2963448275862071</c:v>
                </c:pt>
                <c:pt idx="4">
                  <c:v>47.633212336664101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2-45B4-A3E4-407A43F05760}"/>
            </c:ext>
          </c:extLst>
        </c:ser>
        <c:ser>
          <c:idx val="1"/>
          <c:order val="1"/>
          <c:tx>
            <c:strRef>
              <c:f>'Underhållskostnad per vagn typ '!$A$38</c:f>
              <c:strCache>
                <c:ptCount val="1"/>
                <c:pt idx="0">
                  <c:v>M31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'Underhållskostnad per vagn typ '!$B$36:$F$36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'!$B$38:$F$38</c:f>
              <c:numCache>
                <c:formatCode>#,##0</c:formatCode>
                <c:ptCount val="5"/>
                <c:pt idx="0">
                  <c:v>5.4386554621848742</c:v>
                </c:pt>
                <c:pt idx="1">
                  <c:v>2.8152993932999211</c:v>
                </c:pt>
                <c:pt idx="2">
                  <c:v>9.509754989864394</c:v>
                </c:pt>
                <c:pt idx="3">
                  <c:v>5.351786206896552</c:v>
                </c:pt>
                <c:pt idx="4">
                  <c:v>23.115496052245742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2-45B4-A3E4-407A43F05760}"/>
            </c:ext>
          </c:extLst>
        </c:ser>
        <c:ser>
          <c:idx val="2"/>
          <c:order val="2"/>
          <c:tx>
            <c:strRef>
              <c:f>'Underhållskostnad per vagn typ '!$A$39</c:f>
              <c:strCache>
                <c:ptCount val="1"/>
                <c:pt idx="0">
                  <c:v>M32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'Underhållskostnad per vagn typ '!$B$36:$F$36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'!$B$39:$F$39</c:f>
              <c:numCache>
                <c:formatCode>#,##0</c:formatCode>
                <c:ptCount val="5"/>
                <c:pt idx="0">
                  <c:v>14.598486759142498</c:v>
                </c:pt>
                <c:pt idx="1">
                  <c:v>3.6815453604691277</c:v>
                </c:pt>
                <c:pt idx="2">
                  <c:v>19.800337593456277</c:v>
                </c:pt>
                <c:pt idx="3">
                  <c:v>6.819958620689655</c:v>
                </c:pt>
                <c:pt idx="4">
                  <c:v>44.900328333757557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12-45B4-A3E4-407A43F05760}"/>
            </c:ext>
          </c:extLst>
        </c:ser>
        <c:ser>
          <c:idx val="3"/>
          <c:order val="3"/>
          <c:tx>
            <c:strRef>
              <c:f>'Underhållskostnad per vagn typ '!$A$40</c:f>
              <c:strCache>
                <c:ptCount val="1"/>
                <c:pt idx="0">
                  <c:v>M33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'Underhållskostnad per vagn typ '!$B$36:$F$36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'!$B$40:$F$40</c:f>
              <c:numCache>
                <c:formatCode>#,##0</c:formatCode>
                <c:ptCount val="5"/>
                <c:pt idx="0">
                  <c:v>9</c:v>
                </c:pt>
                <c:pt idx="1">
                  <c:v>2.6588938714499255</c:v>
                </c:pt>
                <c:pt idx="2">
                  <c:v>3.4578525782590255</c:v>
                </c:pt>
                <c:pt idx="3">
                  <c:v>6.0447635862068969</c:v>
                </c:pt>
                <c:pt idx="4">
                  <c:v>21.16151003591585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12-45B4-A3E4-407A43F05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4160016"/>
        <c:axId val="724154768"/>
      </c:barChart>
      <c:catAx>
        <c:axId val="724160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24154768"/>
        <c:crosses val="autoZero"/>
        <c:auto val="1"/>
        <c:lblAlgn val="ctr"/>
        <c:lblOffset val="100"/>
        <c:noMultiLvlLbl val="0"/>
      </c:catAx>
      <c:valAx>
        <c:axId val="72415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2416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sz="1800" b="0" i="0" baseline="0">
                <a:effectLst/>
              </a:rPr>
              <a:t>Total driftskostnad per vagntyp, </a:t>
            </a:r>
            <a:r>
              <a:rPr lang="sv-SE" sz="1800" b="1" i="0" baseline="0">
                <a:effectLst/>
              </a:rPr>
              <a:t>2024 </a:t>
            </a:r>
            <a:r>
              <a:rPr lang="sv-SE" sz="1800" b="0" i="0" baseline="0">
                <a:effectLst/>
              </a:rPr>
              <a:t>(kr/km)</a:t>
            </a:r>
            <a:endParaRPr lang="sv-SE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'Underhållskostnad per vagn typ '!$H$37</c:f>
              <c:strCache>
                <c:ptCount val="1"/>
                <c:pt idx="0">
                  <c:v>M29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'Underhållskostnad per vagn typ '!$I$36:$M$36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'!$I$37:$M$37</c:f>
              <c:numCache>
                <c:formatCode>#,##0</c:formatCode>
                <c:ptCount val="5"/>
                <c:pt idx="0">
                  <c:v>34.122001880366462</c:v>
                </c:pt>
                <c:pt idx="1">
                  <c:v>13.020081408423552</c:v>
                </c:pt>
                <c:pt idx="2">
                  <c:v>33.856458342207716</c:v>
                </c:pt>
                <c:pt idx="3">
                  <c:v>4.5894482758620692</c:v>
                </c:pt>
                <c:pt idx="4">
                  <c:v>85.587989906859789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0-4F9C-A0DC-C4BDD72E91AA}"/>
            </c:ext>
          </c:extLst>
        </c:ser>
        <c:ser>
          <c:idx val="1"/>
          <c:order val="1"/>
          <c:tx>
            <c:strRef>
              <c:f>'Underhållskostnad per vagn typ '!$H$38</c:f>
              <c:strCache>
                <c:ptCount val="1"/>
                <c:pt idx="0">
                  <c:v>M31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'Underhållskostnad per vagn typ '!$I$36:$M$36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'!$I$38:$M$38</c:f>
              <c:numCache>
                <c:formatCode>#,##0</c:formatCode>
                <c:ptCount val="5"/>
                <c:pt idx="0">
                  <c:v>7.8613090306545157</c:v>
                </c:pt>
                <c:pt idx="1">
                  <c:v>2.8027310924369746</c:v>
                </c:pt>
                <c:pt idx="2">
                  <c:v>14.054692729001623</c:v>
                </c:pt>
                <c:pt idx="3">
                  <c:v>7.5500620689655173</c:v>
                </c:pt>
                <c:pt idx="4">
                  <c:v>32.268794921058628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00-4F9C-A0DC-C4BDD72E91AA}"/>
            </c:ext>
          </c:extLst>
        </c:ser>
        <c:ser>
          <c:idx val="2"/>
          <c:order val="2"/>
          <c:tx>
            <c:strRef>
              <c:f>'Underhållskostnad per vagn typ '!$H$39</c:f>
              <c:strCache>
                <c:ptCount val="1"/>
                <c:pt idx="0">
                  <c:v>M32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'Underhållskostnad per vagn typ '!$I$36:$M$36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'!$I$39:$M$39</c:f>
              <c:numCache>
                <c:formatCode>#,##0</c:formatCode>
                <c:ptCount val="5"/>
                <c:pt idx="0">
                  <c:v>21.926103404791931</c:v>
                </c:pt>
                <c:pt idx="1">
                  <c:v>3.6651098901098895</c:v>
                </c:pt>
                <c:pt idx="2">
                  <c:v>26.976220258232058</c:v>
                </c:pt>
                <c:pt idx="3">
                  <c:v>9.6647862068965509</c:v>
                </c:pt>
                <c:pt idx="4">
                  <c:v>62.232219760030432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00-4F9C-A0DC-C4BDD72E91AA}"/>
            </c:ext>
          </c:extLst>
        </c:ser>
        <c:ser>
          <c:idx val="3"/>
          <c:order val="3"/>
          <c:tx>
            <c:strRef>
              <c:f>'Underhållskostnad per vagn typ '!$H$40</c:f>
              <c:strCache>
                <c:ptCount val="1"/>
                <c:pt idx="0">
                  <c:v>M33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'Underhållskostnad per vagn typ '!$I$36:$M$36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'!$I$40:$M$40</c:f>
              <c:numCache>
                <c:formatCode>#,##0</c:formatCode>
                <c:ptCount val="5"/>
                <c:pt idx="0">
                  <c:v>6.9827586206896548</c:v>
                </c:pt>
                <c:pt idx="1">
                  <c:v>2.7383004926108376</c:v>
                </c:pt>
                <c:pt idx="2">
                  <c:v>3.6816236635403681</c:v>
                </c:pt>
                <c:pt idx="3">
                  <c:v>8.548211862068964</c:v>
                </c:pt>
                <c:pt idx="4">
                  <c:v>21.950894638909823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00-4F9C-A0DC-C4BDD72E91AA}"/>
            </c:ext>
          </c:extLst>
        </c:ser>
        <c:ser>
          <c:idx val="4"/>
          <c:order val="4"/>
          <c:tx>
            <c:strRef>
              <c:f>'Underhållskostnad per vagn typ '!$H$41</c:f>
              <c:strCache>
                <c:ptCount val="1"/>
                <c:pt idx="0">
                  <c:v>M34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'Underhållskostnad per vagn typ '!$I$36:$M$36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'!$I$41:$M$41</c:f>
              <c:numCache>
                <c:formatCode>#,##0</c:formatCode>
                <c:ptCount val="5"/>
                <c:pt idx="0">
                  <c:v>31.25</c:v>
                </c:pt>
                <c:pt idx="1">
                  <c:v>2.9779017857142853</c:v>
                </c:pt>
                <c:pt idx="2">
                  <c:v>2.1875</c:v>
                </c:pt>
                <c:pt idx="3">
                  <c:v>10.510675862068965</c:v>
                </c:pt>
                <c:pt idx="4">
                  <c:v>46.926077647783252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00-4F9C-A0DC-C4BDD72E9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1593248"/>
        <c:axId val="731594560"/>
      </c:barChart>
      <c:catAx>
        <c:axId val="731593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1594560"/>
        <c:crosses val="autoZero"/>
        <c:auto val="1"/>
        <c:lblAlgn val="ctr"/>
        <c:lblOffset val="100"/>
        <c:noMultiLvlLbl val="0"/>
      </c:catAx>
      <c:valAx>
        <c:axId val="73159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1593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800" b="0" i="0" baseline="0">
                <a:effectLst/>
              </a:rPr>
              <a:t>Total driftskostnad per vagntyp, </a:t>
            </a:r>
            <a:r>
              <a:rPr lang="sv-SE" sz="1800" b="1" i="0" baseline="0">
                <a:effectLst/>
              </a:rPr>
              <a:t>2025 </a:t>
            </a:r>
            <a:r>
              <a:rPr lang="sv-SE" sz="1800" b="0" i="0" baseline="0">
                <a:effectLst/>
              </a:rPr>
              <a:t>(kr/km)</a:t>
            </a:r>
            <a:endParaRPr lang="sv-SE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'Underhållskostnad per vagn typ '!$O$37</c:f>
              <c:strCache>
                <c:ptCount val="1"/>
                <c:pt idx="0">
                  <c:v>M29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'Underhållskostnad per vagn typ '!$P$36:$T$36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'!$P$37:$T$37</c:f>
              <c:numCache>
                <c:formatCode>#,##0</c:formatCode>
                <c:ptCount val="5"/>
                <c:pt idx="0">
                  <c:v>27.352646901122679</c:v>
                </c:pt>
                <c:pt idx="1">
                  <c:v>11.938658467061044</c:v>
                </c:pt>
                <c:pt idx="2">
                  <c:v>20.043038801066093</c:v>
                </c:pt>
                <c:pt idx="3">
                  <c:v>4.5894482758620692</c:v>
                </c:pt>
                <c:pt idx="4">
                  <c:v>63.923792445111886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E-4076-9C3E-CD1CD62F356F}"/>
            </c:ext>
          </c:extLst>
        </c:ser>
        <c:ser>
          <c:idx val="1"/>
          <c:order val="1"/>
          <c:tx>
            <c:strRef>
              <c:f>'Underhållskostnad per vagn typ '!$O$38</c:f>
              <c:strCache>
                <c:ptCount val="1"/>
                <c:pt idx="0">
                  <c:v>M31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'Underhållskostnad per vagn typ '!$P$36:$T$36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'!$P$38:$T$38</c:f>
              <c:numCache>
                <c:formatCode>#,##0</c:formatCode>
                <c:ptCount val="5"/>
                <c:pt idx="0">
                  <c:v>7.2961060480530238</c:v>
                </c:pt>
                <c:pt idx="1">
                  <c:v>2.7656905934179838</c:v>
                </c:pt>
                <c:pt idx="2">
                  <c:v>14.326619021771711</c:v>
                </c:pt>
                <c:pt idx="3">
                  <c:v>7.5500620689655173</c:v>
                </c:pt>
                <c:pt idx="4">
                  <c:v>31.938477732208234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8E-4076-9C3E-CD1CD62F356F}"/>
            </c:ext>
          </c:extLst>
        </c:ser>
        <c:ser>
          <c:idx val="2"/>
          <c:order val="2"/>
          <c:tx>
            <c:strRef>
              <c:f>'Underhållskostnad per vagn typ '!$O$39</c:f>
              <c:strCache>
                <c:ptCount val="1"/>
                <c:pt idx="0">
                  <c:v>M32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'Underhållskostnad per vagn typ '!$P$36:$T$36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'!$P$39:$T$39</c:f>
              <c:numCache>
                <c:formatCode>#,##0</c:formatCode>
                <c:ptCount val="5"/>
                <c:pt idx="0">
                  <c:v>31.107213114754099</c:v>
                </c:pt>
                <c:pt idx="1">
                  <c:v>4.7016740088105724</c:v>
                </c:pt>
                <c:pt idx="2">
                  <c:v>40.923550870451493</c:v>
                </c:pt>
                <c:pt idx="3">
                  <c:v>9.6647862068965509</c:v>
                </c:pt>
                <c:pt idx="4">
                  <c:v>86.397224200912717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8E-4076-9C3E-CD1CD62F356F}"/>
            </c:ext>
          </c:extLst>
        </c:ser>
        <c:ser>
          <c:idx val="3"/>
          <c:order val="3"/>
          <c:tx>
            <c:strRef>
              <c:f>'Underhållskostnad per vagn typ '!$O$40</c:f>
              <c:strCache>
                <c:ptCount val="1"/>
                <c:pt idx="0">
                  <c:v>M33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'Underhållskostnad per vagn typ '!$P$36:$T$36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'!$P$40:$T$40</c:f>
              <c:numCache>
                <c:formatCode>#,##0</c:formatCode>
                <c:ptCount val="5"/>
                <c:pt idx="0">
                  <c:v>7.1224137931034486</c:v>
                </c:pt>
                <c:pt idx="1">
                  <c:v>2.7021114993164215</c:v>
                </c:pt>
                <c:pt idx="2">
                  <c:v>7.473476443838452</c:v>
                </c:pt>
                <c:pt idx="3">
                  <c:v>8.548211862068964</c:v>
                </c:pt>
                <c:pt idx="4">
                  <c:v>25.846213598327285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8E-4076-9C3E-CD1CD62F356F}"/>
            </c:ext>
          </c:extLst>
        </c:ser>
        <c:ser>
          <c:idx val="4"/>
          <c:order val="4"/>
          <c:tx>
            <c:strRef>
              <c:f>'Underhållskostnad per vagn typ '!$O$41</c:f>
              <c:strCache>
                <c:ptCount val="1"/>
                <c:pt idx="0">
                  <c:v>M34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'Underhållskostnad per vagn typ '!$P$36:$T$36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'!$P$41:$T$41</c:f>
              <c:numCache>
                <c:formatCode>#,##0</c:formatCode>
                <c:ptCount val="5"/>
                <c:pt idx="0">
                  <c:v>7.9215686274509807</c:v>
                </c:pt>
                <c:pt idx="1">
                  <c:v>2.7656905934179843</c:v>
                </c:pt>
                <c:pt idx="2">
                  <c:v>2.0588235294117645</c:v>
                </c:pt>
                <c:pt idx="3">
                  <c:v>10.510675862068965</c:v>
                </c:pt>
                <c:pt idx="4">
                  <c:v>23.256758612349692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8E-4076-9C3E-CD1CD62F3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2251576"/>
        <c:axId val="832253872"/>
      </c:barChart>
      <c:catAx>
        <c:axId val="832251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2253872"/>
        <c:crosses val="autoZero"/>
        <c:auto val="1"/>
        <c:lblAlgn val="ctr"/>
        <c:lblOffset val="100"/>
        <c:noMultiLvlLbl val="0"/>
      </c:catAx>
      <c:valAx>
        <c:axId val="832253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2251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sz="1800" b="0" i="0" baseline="0">
                <a:effectLst/>
              </a:rPr>
              <a:t>Total driftskostnad per vagntyp, </a:t>
            </a:r>
            <a:r>
              <a:rPr lang="sv-SE" sz="1800" b="1" i="0" baseline="0">
                <a:effectLst/>
              </a:rPr>
              <a:t>2026 </a:t>
            </a:r>
            <a:r>
              <a:rPr lang="sv-SE" sz="1800" b="0" i="0" baseline="0">
                <a:effectLst/>
              </a:rPr>
              <a:t>(kr/km)</a:t>
            </a:r>
            <a:endParaRPr lang="sv-SE" b="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'Underhållskostnad per vagn typ '!$V$37</c:f>
              <c:strCache>
                <c:ptCount val="1"/>
                <c:pt idx="0">
                  <c:v>M29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'Underhållskostnad per vagn typ '!$W$36:$AA$36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'!$W$37:$AA$37</c:f>
              <c:numCache>
                <c:formatCode>#,##0</c:formatCode>
                <c:ptCount val="5"/>
                <c:pt idx="0">
                  <c:v>69.572020706810548</c:v>
                </c:pt>
                <c:pt idx="1">
                  <c:v>28.278431313244074</c:v>
                </c:pt>
                <c:pt idx="2">
                  <c:v>14.718860779030901</c:v>
                </c:pt>
                <c:pt idx="3">
                  <c:v>4.5894482758620692</c:v>
                </c:pt>
                <c:pt idx="4">
                  <c:v>117.15876107494759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E-475B-A803-0305B79CAFB6}"/>
            </c:ext>
          </c:extLst>
        </c:ser>
        <c:ser>
          <c:idx val="1"/>
          <c:order val="1"/>
          <c:tx>
            <c:strRef>
              <c:f>'Underhållskostnad per vagn typ '!$V$38</c:f>
              <c:strCache>
                <c:ptCount val="1"/>
                <c:pt idx="0">
                  <c:v>M31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'Underhållskostnad per vagn typ '!$W$36:$AA$36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'!$W$38:$AA$38</c:f>
              <c:numCache>
                <c:formatCode>#,##0</c:formatCode>
                <c:ptCount val="5"/>
                <c:pt idx="0">
                  <c:v>7.0394366197183098</c:v>
                </c:pt>
                <c:pt idx="1">
                  <c:v>2.7060851926977687</c:v>
                </c:pt>
                <c:pt idx="2">
                  <c:v>13.038081263328078</c:v>
                </c:pt>
                <c:pt idx="3">
                  <c:v>7.5500620689655173</c:v>
                </c:pt>
                <c:pt idx="4">
                  <c:v>30.333665144709673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E-475B-A803-0305B79CAFB6}"/>
            </c:ext>
          </c:extLst>
        </c:ser>
        <c:ser>
          <c:idx val="2"/>
          <c:order val="2"/>
          <c:tx>
            <c:strRef>
              <c:f>'Underhållskostnad per vagn typ '!$V$39</c:f>
              <c:strCache>
                <c:ptCount val="1"/>
                <c:pt idx="0">
                  <c:v>M32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'Underhållskostnad per vagn typ '!$W$36:$AA$36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'!$W$39:$AA$39</c:f>
              <c:numCache>
                <c:formatCode>#,##0</c:formatCode>
                <c:ptCount val="5"/>
                <c:pt idx="0">
                  <c:v>31.654098360655738</c:v>
                </c:pt>
                <c:pt idx="1">
                  <c:v>4.6003448275862064</c:v>
                </c:pt>
                <c:pt idx="2">
                  <c:v>41.638758770055766</c:v>
                </c:pt>
                <c:pt idx="3">
                  <c:v>9.6647862068965509</c:v>
                </c:pt>
                <c:pt idx="4">
                  <c:v>87.55798816519426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9E-475B-A803-0305B79CAFB6}"/>
            </c:ext>
          </c:extLst>
        </c:ser>
        <c:ser>
          <c:idx val="3"/>
          <c:order val="3"/>
          <c:tx>
            <c:strRef>
              <c:f>'Underhållskostnad per vagn typ '!$V$40</c:f>
              <c:strCache>
                <c:ptCount val="1"/>
                <c:pt idx="0">
                  <c:v>M33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'Underhållskostnad per vagn typ '!$W$36:$AA$36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'!$W$40:$AA$40</c:f>
              <c:numCache>
                <c:formatCode>#,##0</c:formatCode>
                <c:ptCount val="5"/>
                <c:pt idx="0">
                  <c:v>7.2646551724137929</c:v>
                </c:pt>
                <c:pt idx="1">
                  <c:v>2.6438763376932228</c:v>
                </c:pt>
                <c:pt idx="2">
                  <c:v>6.0427844131053625</c:v>
                </c:pt>
                <c:pt idx="3">
                  <c:v>8.548211862068964</c:v>
                </c:pt>
                <c:pt idx="4">
                  <c:v>24.499527785281344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9E-475B-A803-0305B79CAFB6}"/>
            </c:ext>
          </c:extLst>
        </c:ser>
        <c:ser>
          <c:idx val="4"/>
          <c:order val="4"/>
          <c:tx>
            <c:strRef>
              <c:f>'Underhållskostnad per vagn typ '!$V$41</c:f>
              <c:strCache>
                <c:ptCount val="1"/>
                <c:pt idx="0">
                  <c:v>M34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'Underhållskostnad per vagn typ '!$W$36:$AA$36</c:f>
              <c:strCache>
                <c:ptCount val="5"/>
                <c:pt idx="0">
                  <c:v>Direkt underhållskostnad per vagnstyp och km</c:v>
                </c:pt>
                <c:pt idx="1">
                  <c:v>Indirekt underhållskostnad per vagnstyp och km OH1 </c:v>
                </c:pt>
                <c:pt idx="2">
                  <c:v>Underhållskostnad per vagnstyp och km ink. OH2</c:v>
                </c:pt>
                <c:pt idx="3">
                  <c:v>Elkostnad per vagntyp/ kilometerkostnad </c:v>
                </c:pt>
                <c:pt idx="4">
                  <c:v>Total driftskostnad per vagntyp</c:v>
                </c:pt>
              </c:strCache>
            </c:strRef>
          </c:cat>
          <c:val>
            <c:numRef>
              <c:f>'Underhållskostnad per vagn typ '!$W$41:$AA$41</c:f>
              <c:numCache>
                <c:formatCode>#,##0</c:formatCode>
                <c:ptCount val="5"/>
                <c:pt idx="0">
                  <c:v>6.0007843137254904</c:v>
                </c:pt>
                <c:pt idx="1">
                  <c:v>2.7060851926977687</c:v>
                </c:pt>
                <c:pt idx="2">
                  <c:v>4.8116275481759757E-3</c:v>
                </c:pt>
                <c:pt idx="3">
                  <c:v>10.510675862068965</c:v>
                </c:pt>
                <c:pt idx="4">
                  <c:v>19.2223569960404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9E-475B-A803-0305B79CA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7721928"/>
        <c:axId val="247716352"/>
      </c:barChart>
      <c:catAx>
        <c:axId val="247721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47716352"/>
        <c:crosses val="autoZero"/>
        <c:auto val="1"/>
        <c:lblAlgn val="ctr"/>
        <c:lblOffset val="100"/>
        <c:noMultiLvlLbl val="0"/>
      </c:catAx>
      <c:valAx>
        <c:axId val="24771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47721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sz="1800" b="0" i="0" baseline="0">
                <a:effectLst/>
              </a:rPr>
              <a:t>Total driftskostnad per vagntyp, </a:t>
            </a:r>
            <a:r>
              <a:rPr lang="sv-SE" sz="1800" b="1" i="0" baseline="0">
                <a:effectLst/>
              </a:rPr>
              <a:t>2023-2026 </a:t>
            </a:r>
            <a:r>
              <a:rPr lang="sv-SE" sz="1800" b="0" i="0" baseline="0">
                <a:effectLst/>
              </a:rPr>
              <a:t>(kr/km)</a:t>
            </a:r>
            <a:endParaRPr lang="sv-SE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'Underhållskostnad per vagn typ '!$A$44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'Underhållskostnad per vagn typ '!$B$43:$F$43</c:f>
              <c:strCache>
                <c:ptCount val="5"/>
                <c:pt idx="0">
                  <c:v>M29</c:v>
                </c:pt>
                <c:pt idx="1">
                  <c:v>M31</c:v>
                </c:pt>
                <c:pt idx="2">
                  <c:v>M32</c:v>
                </c:pt>
                <c:pt idx="3">
                  <c:v>M33</c:v>
                </c:pt>
                <c:pt idx="4">
                  <c:v>M34</c:v>
                </c:pt>
              </c:strCache>
            </c:strRef>
          </c:cat>
          <c:val>
            <c:numRef>
              <c:f>'Underhållskostnad per vagn typ '!$B$44:$F$44</c:f>
              <c:numCache>
                <c:formatCode>#,##0</c:formatCode>
                <c:ptCount val="5"/>
                <c:pt idx="0">
                  <c:v>47.633212336664101</c:v>
                </c:pt>
                <c:pt idx="1">
                  <c:v>23.115496052245742</c:v>
                </c:pt>
                <c:pt idx="2">
                  <c:v>44.900328333757557</c:v>
                </c:pt>
                <c:pt idx="3">
                  <c:v>21.16151003591585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1-437F-877C-E799ED73C4DF}"/>
            </c:ext>
          </c:extLst>
        </c:ser>
        <c:ser>
          <c:idx val="1"/>
          <c:order val="1"/>
          <c:tx>
            <c:strRef>
              <c:f>'Underhållskostnad per vagn typ '!$A$45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'Underhållskostnad per vagn typ '!$B$43:$F$43</c:f>
              <c:strCache>
                <c:ptCount val="5"/>
                <c:pt idx="0">
                  <c:v>M29</c:v>
                </c:pt>
                <c:pt idx="1">
                  <c:v>M31</c:v>
                </c:pt>
                <c:pt idx="2">
                  <c:v>M32</c:v>
                </c:pt>
                <c:pt idx="3">
                  <c:v>M33</c:v>
                </c:pt>
                <c:pt idx="4">
                  <c:v>M34</c:v>
                </c:pt>
              </c:strCache>
            </c:strRef>
          </c:cat>
          <c:val>
            <c:numRef>
              <c:f>'Underhållskostnad per vagn typ '!$B$45:$F$45</c:f>
              <c:numCache>
                <c:formatCode>#,##0</c:formatCode>
                <c:ptCount val="5"/>
                <c:pt idx="0">
                  <c:v>85.587989906859789</c:v>
                </c:pt>
                <c:pt idx="1">
                  <c:v>32.268794921058628</c:v>
                </c:pt>
                <c:pt idx="2">
                  <c:v>62.232219760030432</c:v>
                </c:pt>
                <c:pt idx="3">
                  <c:v>21.950894638909823</c:v>
                </c:pt>
                <c:pt idx="4">
                  <c:v>46.926077647783252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21-437F-877C-E799ED73C4DF}"/>
            </c:ext>
          </c:extLst>
        </c:ser>
        <c:ser>
          <c:idx val="2"/>
          <c:order val="2"/>
          <c:tx>
            <c:strRef>
              <c:f>'Underhållskostnad per vagn typ '!$A$46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'Underhållskostnad per vagn typ '!$B$43:$F$43</c:f>
              <c:strCache>
                <c:ptCount val="5"/>
                <c:pt idx="0">
                  <c:v>M29</c:v>
                </c:pt>
                <c:pt idx="1">
                  <c:v>M31</c:v>
                </c:pt>
                <c:pt idx="2">
                  <c:v>M32</c:v>
                </c:pt>
                <c:pt idx="3">
                  <c:v>M33</c:v>
                </c:pt>
                <c:pt idx="4">
                  <c:v>M34</c:v>
                </c:pt>
              </c:strCache>
            </c:strRef>
          </c:cat>
          <c:val>
            <c:numRef>
              <c:f>'Underhållskostnad per vagn typ '!$B$46:$F$46</c:f>
              <c:numCache>
                <c:formatCode>#,##0</c:formatCode>
                <c:ptCount val="5"/>
                <c:pt idx="0">
                  <c:v>63.923792445111886</c:v>
                </c:pt>
                <c:pt idx="1">
                  <c:v>31.938477732208234</c:v>
                </c:pt>
                <c:pt idx="2">
                  <c:v>86.397224200912717</c:v>
                </c:pt>
                <c:pt idx="3">
                  <c:v>25.846213598327285</c:v>
                </c:pt>
                <c:pt idx="4">
                  <c:v>23.256758612349692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21-437F-877C-E799ED73C4DF}"/>
            </c:ext>
          </c:extLst>
        </c:ser>
        <c:ser>
          <c:idx val="3"/>
          <c:order val="3"/>
          <c:tx>
            <c:strRef>
              <c:f>'Underhållskostnad per vagn typ '!$A$47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'Underhållskostnad per vagn typ '!$B$43:$F$43</c:f>
              <c:strCache>
                <c:ptCount val="5"/>
                <c:pt idx="0">
                  <c:v>M29</c:v>
                </c:pt>
                <c:pt idx="1">
                  <c:v>M31</c:v>
                </c:pt>
                <c:pt idx="2">
                  <c:v>M32</c:v>
                </c:pt>
                <c:pt idx="3">
                  <c:v>M33</c:v>
                </c:pt>
                <c:pt idx="4">
                  <c:v>M34</c:v>
                </c:pt>
              </c:strCache>
            </c:strRef>
          </c:cat>
          <c:val>
            <c:numRef>
              <c:f>'Underhållskostnad per vagn typ '!$B$47:$F$47</c:f>
              <c:numCache>
                <c:formatCode>#,##0</c:formatCode>
                <c:ptCount val="5"/>
                <c:pt idx="0">
                  <c:v>117.15876107494759</c:v>
                </c:pt>
                <c:pt idx="1">
                  <c:v>30.333665144709673</c:v>
                </c:pt>
                <c:pt idx="2">
                  <c:v>87.55798816519426</c:v>
                </c:pt>
                <c:pt idx="3">
                  <c:v>24.499527785281344</c:v>
                </c:pt>
                <c:pt idx="4">
                  <c:v>19.2223569960404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21-437F-877C-E799ED73C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21022376"/>
        <c:axId val="921020080"/>
      </c:barChart>
      <c:catAx>
        <c:axId val="921022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21020080"/>
        <c:crosses val="autoZero"/>
        <c:auto val="1"/>
        <c:lblAlgn val="ctr"/>
        <c:lblOffset val="100"/>
        <c:noMultiLvlLbl val="0"/>
      </c:catAx>
      <c:valAx>
        <c:axId val="92102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21022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220806</xdr:colOff>
      <xdr:row>0</xdr:row>
      <xdr:rowOff>65809</xdr:rowOff>
    </xdr:from>
    <xdr:to>
      <xdr:col>16</xdr:col>
      <xdr:colOff>523875</xdr:colOff>
      <xdr:row>16</xdr:row>
      <xdr:rowOff>20782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5AA824-36A2-416B-9FD3-821650AED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177511</xdr:colOff>
      <xdr:row>0</xdr:row>
      <xdr:rowOff>65809</xdr:rowOff>
    </xdr:from>
    <xdr:to>
      <xdr:col>9</xdr:col>
      <xdr:colOff>229465</xdr:colOff>
      <xdr:row>16</xdr:row>
      <xdr:rowOff>20782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E9C4C06-4610-4A3D-B53A-D0F1F392E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239280</xdr:colOff>
      <xdr:row>17</xdr:row>
      <xdr:rowOff>63787</xdr:rowOff>
    </xdr:from>
    <xdr:to>
      <xdr:col>18</xdr:col>
      <xdr:colOff>359618</xdr:colOff>
      <xdr:row>35</xdr:row>
      <xdr:rowOff>9718</xdr:rowOff>
    </xdr:to>
    <xdr:graphicFrame macro="">
      <xdr:nvGraphicFramePr>
        <xdr:cNvPr id="14" name="Diagram 4">
          <a:extLst>
            <a:ext uri="{FF2B5EF4-FFF2-40B4-BE49-F238E27FC236}">
              <a16:creationId xmlns:a16="http://schemas.microsoft.com/office/drawing/2014/main" id="{079B45D8-795E-401E-9723-E38FF0D35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9526</xdr:rowOff>
    </xdr:from>
    <xdr:to>
      <xdr:col>8</xdr:col>
      <xdr:colOff>152399</xdr:colOff>
      <xdr:row>16</xdr:row>
      <xdr:rowOff>142876</xdr:rowOff>
    </xdr:to>
    <xdr:graphicFrame macro="">
      <xdr:nvGraphicFramePr>
        <xdr:cNvPr id="64" name="Diagram 1">
          <a:extLst>
            <a:ext uri="{FF2B5EF4-FFF2-40B4-BE49-F238E27FC236}">
              <a16:creationId xmlns:a16="http://schemas.microsoft.com/office/drawing/2014/main" id="{CBA2040B-3C98-4986-B5C8-1AA583A96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190500</xdr:colOff>
      <xdr:row>0</xdr:row>
      <xdr:rowOff>19050</xdr:rowOff>
    </xdr:from>
    <xdr:to>
      <xdr:col>13</xdr:col>
      <xdr:colOff>504825</xdr:colOff>
      <xdr:row>16</xdr:row>
      <xdr:rowOff>171449</xdr:rowOff>
    </xdr:to>
    <xdr:graphicFrame macro="">
      <xdr:nvGraphicFramePr>
        <xdr:cNvPr id="67" name="Diagram 2">
          <a:extLst>
            <a:ext uri="{FF2B5EF4-FFF2-40B4-BE49-F238E27FC236}">
              <a16:creationId xmlns:a16="http://schemas.microsoft.com/office/drawing/2014/main" id="{BCAA1D4A-8207-40C7-88DC-95FB3911C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533400</xdr:colOff>
      <xdr:row>0</xdr:row>
      <xdr:rowOff>19050</xdr:rowOff>
    </xdr:from>
    <xdr:to>
      <xdr:col>20</xdr:col>
      <xdr:colOff>457200</xdr:colOff>
      <xdr:row>16</xdr:row>
      <xdr:rowOff>152399</xdr:rowOff>
    </xdr:to>
    <xdr:graphicFrame macro="">
      <xdr:nvGraphicFramePr>
        <xdr:cNvPr id="70" name="Diagram 3">
          <a:extLst>
            <a:ext uri="{FF2B5EF4-FFF2-40B4-BE49-F238E27FC236}">
              <a16:creationId xmlns:a16="http://schemas.microsoft.com/office/drawing/2014/main" id="{6DC3D17E-CCDF-4A0B-B431-195B50DCC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485775</xdr:colOff>
      <xdr:row>0</xdr:row>
      <xdr:rowOff>33337</xdr:rowOff>
    </xdr:from>
    <xdr:to>
      <xdr:col>27</xdr:col>
      <xdr:colOff>409575</xdr:colOff>
      <xdr:row>16</xdr:row>
      <xdr:rowOff>114300</xdr:rowOff>
    </xdr:to>
    <xdr:graphicFrame macro="">
      <xdr:nvGraphicFramePr>
        <xdr:cNvPr id="73" name="Diagram 4">
          <a:extLst>
            <a:ext uri="{FF2B5EF4-FFF2-40B4-BE49-F238E27FC236}">
              <a16:creationId xmlns:a16="http://schemas.microsoft.com/office/drawing/2014/main" id="{11D8DF8F-2A44-478E-9014-816882A3D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104774</xdr:colOff>
      <xdr:row>17</xdr:row>
      <xdr:rowOff>128586</xdr:rowOff>
    </xdr:from>
    <xdr:to>
      <xdr:col>8</xdr:col>
      <xdr:colOff>190499</xdr:colOff>
      <xdr:row>34</xdr:row>
      <xdr:rowOff>19049</xdr:rowOff>
    </xdr:to>
    <xdr:graphicFrame macro="">
      <xdr:nvGraphicFramePr>
        <xdr:cNvPr id="61" name="Diagram 5">
          <a:extLst>
            <a:ext uri="{FF2B5EF4-FFF2-40B4-BE49-F238E27FC236}">
              <a16:creationId xmlns:a16="http://schemas.microsoft.com/office/drawing/2014/main" id="{CB4B0809-0ACD-4DAF-B6CC-257B305ED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isa Santa" id="{6CC478A4-77EE-4856-95A2-5D405469DB86}" userId="S::alisa.santa@sparvagen.goteborg.se::d68cd883-dfb8-4764-8a75-1fa18f86454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B5176EC-D0AA-4706-977C-C1429A9DC26B}" name="Tabell11" displayName="Tabell11" ref="B1:H13" totalsRowShown="0" headerRowDxfId="94" dataDxfId="93" tableBorderDxfId="92">
  <tableColumns count="7">
    <tableColumn id="1" xr3:uid="{346DBAAC-C102-4D81-B29C-658792048AD4}" name="Avdelning" dataDxfId="91"/>
    <tableColumn id="2" xr3:uid="{6C5C6446-68FD-4E28-A140-C95E9E6F40F9}" name="2024" dataDxfId="90"/>
    <tableColumn id="3" xr3:uid="{965F5FD8-6495-4360-B75B-EBD1B2628189}" name="Beskrivning 2024" dataDxfId="89">
      <calculatedColumnFormula>SUMIFS(Tabell6[Belopp (tkr)],Tabell6[Avdelning],Tabell11[[#This Row],[Avdelning]],Tabell6[Kontogrupp],"Beskrivning")</calculatedColumnFormula>
    </tableColumn>
    <tableColumn id="4" xr3:uid="{851076A5-95FF-42D1-BA77-7CF5C841549F}" name="2025" dataDxfId="88"/>
    <tableColumn id="5" xr3:uid="{A13CA807-2283-4055-B458-8FE8C54B3507}" name="Beskrivning 2025" dataDxfId="87">
      <calculatedColumnFormula>SUMIFS(Tabell6[Belopp (tkr)],Tabell6[Avdelning],Tabell11[[#This Row],[Avdelning]],Tabell6[Kontogrupp],"avskrivningar")</calculatedColumnFormula>
    </tableColumn>
    <tableColumn id="6" xr3:uid="{052E1A4C-492D-4A3D-83EC-2EE6F1CD627E}" name="2026" dataDxfId="86"/>
    <tableColumn id="7" xr3:uid="{D09462CC-4719-4282-83D6-C3E2FC6B2219}" name="Beskrivning 2026" dataDxfId="85">
      <calculatedColumnFormula>SUMIFS(Tabell6[Belopp (tkr)],Tabell6[Avdelning],Tabell11[[#This Row],[Avdelning]],Tabell6[Kontogrupp],"avskrivningar")</calculatedColumnFormula>
    </tableColumn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C28073A-0A62-4DC5-B507-AD0E617ED41B}" name="Tabell6" displayName="Tabell6" ref="A2:D99" totalsRowCount="1" headerRowDxfId="84" headerRowBorderDxfId="83" tableBorderDxfId="82" totalsRowBorderDxfId="81">
  <autoFilter ref="A2:D98" xr:uid="{2C28073A-0A62-4DC5-B507-AD0E617ED41B}">
    <filterColumn colId="0">
      <filters>
        <filter val="SKIP och förbättring"/>
      </filters>
    </filterColumn>
  </autoFilter>
  <tableColumns count="4">
    <tableColumn id="1" xr3:uid="{85BFFE25-CA76-49A3-9B0B-C62E576E3B63}" name="Avdelning" dataDxfId="80" totalsRowDxfId="79" dataCellStyle="Normal 3"/>
    <tableColumn id="2" xr3:uid="{1D2CE6B8-5CD2-4B5F-9936-435A6F6D2980}" name="Kontogrupp" dataDxfId="78" totalsRowDxfId="77" dataCellStyle="Normal 3"/>
    <tableColumn id="3" xr3:uid="{0127A988-AED7-4CA4-A7F0-4DD195869563}" name="Belopp (tkr)" totalsRowFunction="sum" dataDxfId="76" totalsRowDxfId="75" dataCellStyle="Normal 3"/>
    <tableColumn id="4" xr3:uid="{8803CF24-BC17-4CB9-9528-851BEA6A5D6A}" name="Beskrivning" dataDxfId="74" totalsRowDxfId="73" dataCellStyle="Normal 3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0640E36-1EF7-47E4-9DA5-A7B10B6BC3E6}" name="Tabell626" displayName="Tabell626" ref="A2:E100" totalsRowCount="1" headerRowDxfId="72" headerRowBorderDxfId="71" tableBorderDxfId="70" totalsRowBorderDxfId="69">
  <autoFilter ref="A2:E99" xr:uid="{2C28073A-0A62-4DC5-B507-AD0E617ED41B}"/>
  <tableColumns count="5">
    <tableColumn id="1" xr3:uid="{5406F58A-833C-4473-8BA2-3BB3A5FDAE27}" name="Avdelning" dataDxfId="68" totalsRowDxfId="67" dataCellStyle="Normal 3"/>
    <tableColumn id="2" xr3:uid="{90D503F0-27A3-4A24-AB40-102AF1493BA4}" name="Kontogrupp" dataDxfId="66" totalsRowDxfId="65" dataCellStyle="Normal 3"/>
    <tableColumn id="3" xr3:uid="{BED77718-CBC5-4076-87F8-499E3AA77040}" name="Belopp (tkr)" totalsRowFunction="sum" dataDxfId="64" totalsRowDxfId="63" dataCellStyle="Normal 3"/>
    <tableColumn id="4" xr3:uid="{DAFF5431-6121-46C8-B939-2EDB8C0FBADB}" name="Beskrivning" dataDxfId="62" totalsRowDxfId="61" dataCellStyle="Normal 3"/>
    <tableColumn id="5" xr3:uid="{87253FD2-DA7E-4773-BDF1-AF778B42B283}" name="Kolumn1" totalsRowDxfId="60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A550BC6-C678-4FF5-9F72-19A594936B58}" name="Tabell838" displayName="Tabell838" ref="F2:I100" totalsRowCount="1" headerRowDxfId="59" headerRowBorderDxfId="58" tableBorderDxfId="57" totalsRowBorderDxfId="56">
  <autoFilter ref="F2:I99" xr:uid="{243BDB0F-4A39-4B79-AD0A-8AD8C1A29840}"/>
  <tableColumns count="4">
    <tableColumn id="1" xr3:uid="{8DB95039-EF41-4903-B4FD-EF94AA0F29D9}" name="Avdelning" dataDxfId="55" totalsRowDxfId="54" dataCellStyle="Normal 3"/>
    <tableColumn id="2" xr3:uid="{F8874E9D-D538-4F60-B344-A217D1623A9B}" name="Kontogrupp" dataDxfId="53" totalsRowDxfId="52" dataCellStyle="Normal 3"/>
    <tableColumn id="3" xr3:uid="{A9C92071-AE7C-4190-AE46-19B215FF7207}" name="Belopp (tkr)" totalsRowFunction="sum" dataDxfId="51" totalsRowDxfId="50" dataCellStyle="Normal 3"/>
    <tableColumn id="4" xr3:uid="{70A1B0E2-7644-4B28-9308-FF46C8298EB1}" name="Beskrivning" dataDxfId="49" totalsRowDxfId="48" dataCellStyle="Normal 3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5B8F99A-1BFD-40DD-B9E2-27C1BF75ABFA}" name="Tabell9411" displayName="Tabell9411" ref="K2:N100" totalsRowCount="1" headerRowDxfId="47" headerRowBorderDxfId="46" tableBorderDxfId="45" totalsRowBorderDxfId="44">
  <autoFilter ref="K2:N99" xr:uid="{1F177741-2CEA-42B7-A33B-ABE248A4F424}"/>
  <tableColumns count="4">
    <tableColumn id="1" xr3:uid="{9CC8F183-5810-4A69-819C-AFFB68A7D044}" name="Avdelning" dataDxfId="43" totalsRowDxfId="42" dataCellStyle="Normal 3"/>
    <tableColumn id="2" xr3:uid="{F453AAAC-50D9-4493-912C-99D0DA204E04}" name="Kontogrupp" dataDxfId="41" totalsRowDxfId="40" dataCellStyle="Normal 3"/>
    <tableColumn id="3" xr3:uid="{5241C537-7E68-41E2-99F8-E02CC8222C8D}" name="Belopp (tkr)" totalsRowFunction="sum" dataDxfId="39" totalsRowDxfId="38" dataCellStyle="Normal 3"/>
    <tableColumn id="4" xr3:uid="{D8FC0913-F846-47B2-A972-9FA9AE93AC2D}" name="Beskrivning" dataDxfId="37" totalsRowDxfId="36" dataCellStyle="Normal 3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73724F-DE70-4BC6-9F0B-3BF8AF75C69C}" name="Tabell62" displayName="Tabell62" ref="A2:D100" totalsRowCount="1" headerRowDxfId="35" headerRowBorderDxfId="34" tableBorderDxfId="33" totalsRowBorderDxfId="32">
  <autoFilter ref="A2:D99" xr:uid="{2C28073A-0A62-4DC5-B507-AD0E617ED41B}">
    <filterColumn colId="1">
      <filters>
        <filter val="M32"/>
      </filters>
    </filterColumn>
  </autoFilter>
  <tableColumns count="4">
    <tableColumn id="1" xr3:uid="{D2A99FF0-E0E6-460B-90A9-0B85B40620D6}" name="Avdelning" dataDxfId="31" totalsRowDxfId="30" dataCellStyle="Normal 3"/>
    <tableColumn id="2" xr3:uid="{0F9F06BA-023C-4CF2-A02B-3FDFDAB923E5}" name="Kontogrupp" dataDxfId="29" totalsRowDxfId="28" dataCellStyle="Normal 3"/>
    <tableColumn id="3" xr3:uid="{F6CF5693-61CC-4404-ABB8-D2D66C752766}" name="Belopp (tkr)" totalsRowFunction="sum" dataDxfId="27" totalsRowDxfId="26" dataCellStyle="Normal 3"/>
    <tableColumn id="4" xr3:uid="{63501B8F-003C-45EA-B4EC-FFBB53395735}" name="Beskrivning" dataDxfId="25" totalsRowDxfId="24" dataCellStyle="Normal 3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B51981-8B33-4EB2-965E-9510CD6EFB9F}" name="Tabell83" displayName="Tabell83" ref="F2:I100" totalsRowCount="1" headerRowDxfId="23" headerRowBorderDxfId="22" tableBorderDxfId="21" totalsRowBorderDxfId="20">
  <autoFilter ref="F2:I99" xr:uid="{243BDB0F-4A39-4B79-AD0A-8AD8C1A29840}"/>
  <tableColumns count="4">
    <tableColumn id="1" xr3:uid="{1F8C7C25-9EB3-4190-B277-E7D3BAFF47E8}" name="Avdelning" dataDxfId="19" totalsRowDxfId="18" dataCellStyle="Normal 3"/>
    <tableColumn id="2" xr3:uid="{E2FB27C9-9B2F-45D1-8A9D-9451250F0688}" name="Kontogrupp" dataDxfId="17" totalsRowDxfId="16" dataCellStyle="Normal 3"/>
    <tableColumn id="3" xr3:uid="{B7C5FBBC-CFB1-49A8-848E-7A2EE3FF9418}" name="Belopp (tkr)" totalsRowFunction="sum" dataDxfId="15" totalsRowDxfId="14" dataCellStyle="Normal 3"/>
    <tableColumn id="4" xr3:uid="{DA8BB848-1116-4548-9817-5EC2AE01F533}" name="Beskrivning" dataDxfId="13" totalsRowDxfId="12" dataCellStyle="Normal 3"/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6E1AC4-182A-4D39-A279-1ACF9E6DB167}" name="Tabell94" displayName="Tabell94" ref="K2:N100" totalsRowCount="1" headerRowDxfId="11" headerRowBorderDxfId="10" tableBorderDxfId="9" totalsRowBorderDxfId="8">
  <autoFilter ref="K2:N99" xr:uid="{1F177741-2CEA-42B7-A33B-ABE248A4F424}"/>
  <tableColumns count="4">
    <tableColumn id="1" xr3:uid="{3D52D8E1-78BA-4727-BB81-E4DF9F29D3EA}" name="Avdelning" dataDxfId="7" totalsRowDxfId="6" dataCellStyle="Normal 3"/>
    <tableColumn id="2" xr3:uid="{8E3827BF-46EB-44E5-A8DF-B0DC86DA7A20}" name="Kontogrupp" dataDxfId="5" totalsRowDxfId="4" dataCellStyle="Normal 3"/>
    <tableColumn id="3" xr3:uid="{042A1BB7-3ACA-4F5C-AFE8-C0E29024C4E3}" name="Belopp (tkr)" totalsRowFunction="sum" dataDxfId="3" totalsRowDxfId="2" dataCellStyle="Normal 3"/>
    <tableColumn id="4" xr3:uid="{E261063E-E9D4-4E08-B0A5-A787A27BE2FB}" name="Beskrivning" dataDxfId="1" totalsRowDxfId="0" dataCellStyle="Normal 3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0BDE84F-8982-46E2-873D-23DA54E704BA}" name="Tabell4" displayName="Tabell4" ref="A1:B14" totalsRowShown="0">
  <autoFilter ref="A1:B14" xr:uid="{D0BDE84F-8982-46E2-873D-23DA54E704BA}"/>
  <tableColumns count="2">
    <tableColumn id="1" xr3:uid="{AF0B0F37-FA39-4DAF-8599-3AC7A5235A4A}" name="Kolumn1"/>
    <tableColumn id="2" xr3:uid="{BB4589D9-6716-4D18-813B-7EE670B073C8}" name="Kolumn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dT="2022-09-22T11:08:14.14" personId="{6CC478A4-77EE-4856-95A2-5D405469DB86}" id="{82C2862C-6002-40FB-834C-0350CDBA1764}">
    <text>8 tjänst. 42 kollektiv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microsoft.com/office/2017/10/relationships/threadedComment" Target="../threadedComments/threadedComment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showGridLines="0" tabSelected="1" zoomScale="98" zoomScaleNormal="98" workbookViewId="0">
      <selection activeCell="A19" sqref="A19"/>
    </sheetView>
  </sheetViews>
  <sheetFormatPr defaultColWidth="9.26953125" defaultRowHeight="13" x14ac:dyDescent="0.3"/>
  <cols>
    <col min="1" max="1" width="29.54296875" style="3" customWidth="1"/>
    <col min="2" max="2" width="11.54296875" style="3" bestFit="1" customWidth="1"/>
    <col min="3" max="3" width="11.7265625" style="3" bestFit="1" customWidth="1"/>
    <col min="4" max="4" width="13.7265625" style="3" bestFit="1" customWidth="1"/>
    <col min="5" max="5" width="16.453125" style="3" customWidth="1"/>
    <col min="6" max="6" width="20" style="3" bestFit="1" customWidth="1"/>
    <col min="7" max="7" width="23.26953125" style="3" bestFit="1" customWidth="1"/>
    <col min="8" max="8" width="10.7265625" style="3" bestFit="1" customWidth="1"/>
    <col min="9" max="9" width="13.7265625" style="3" bestFit="1" customWidth="1"/>
    <col min="10" max="12" width="9.26953125" style="3"/>
    <col min="13" max="13" width="9.453125" style="3" bestFit="1" customWidth="1"/>
    <col min="14" max="16384" width="9.26953125" style="3"/>
  </cols>
  <sheetData>
    <row r="1" spans="1:8" ht="26" x14ac:dyDescent="0.3">
      <c r="A1" s="1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64" t="s">
        <v>5</v>
      </c>
    </row>
    <row r="2" spans="1:8" x14ac:dyDescent="0.3">
      <c r="A2" s="4" t="s">
        <v>6</v>
      </c>
      <c r="B2" s="5">
        <v>20498</v>
      </c>
      <c r="C2" s="5">
        <f>I21</f>
        <v>38217.96</v>
      </c>
      <c r="D2" s="5">
        <f>I39</f>
        <v>28544.319199999998</v>
      </c>
      <c r="E2" s="5">
        <f>I57</f>
        <v>23977.205583999999</v>
      </c>
      <c r="G2" s="51">
        <f>SUM(C2-C21)</f>
        <v>17719.96</v>
      </c>
      <c r="H2" s="67" t="s">
        <v>6</v>
      </c>
    </row>
    <row r="3" spans="1:8" x14ac:dyDescent="0.3">
      <c r="A3" s="4" t="s">
        <v>7</v>
      </c>
      <c r="B3" s="5">
        <v>35596</v>
      </c>
      <c r="C3" s="5">
        <f>I22</f>
        <v>47443.92</v>
      </c>
      <c r="D3" s="5">
        <f>I40</f>
        <v>44032.358399999997</v>
      </c>
      <c r="E3" s="5">
        <f t="shared" ref="E3:E6" si="0">I58</f>
        <v>42483.565567999998</v>
      </c>
      <c r="G3" s="51">
        <f>SUM(C3-C22)</f>
        <v>11847.919999999998</v>
      </c>
      <c r="H3" s="67" t="s">
        <v>7</v>
      </c>
    </row>
    <row r="4" spans="1:8" x14ac:dyDescent="0.3">
      <c r="A4" s="4" t="s">
        <v>8</v>
      </c>
      <c r="B4" s="5">
        <v>57883</v>
      </c>
      <c r="C4" s="5">
        <f>I23</f>
        <v>86937.66</v>
      </c>
      <c r="D4" s="5">
        <f>I41</f>
        <v>94877.213199999998</v>
      </c>
      <c r="E4" s="5">
        <f t="shared" si="0"/>
        <v>96545.557463999998</v>
      </c>
      <c r="G4" s="65">
        <f>SUM(C4-C23)</f>
        <v>29054.660000000003</v>
      </c>
      <c r="H4" s="67" t="s">
        <v>8</v>
      </c>
    </row>
    <row r="5" spans="1:8" x14ac:dyDescent="0.3">
      <c r="A5" s="4" t="s">
        <v>9</v>
      </c>
      <c r="B5" s="5">
        <v>24300</v>
      </c>
      <c r="C5" s="5">
        <f>I24</f>
        <v>24300</v>
      </c>
      <c r="D5" s="5">
        <f>I42</f>
        <v>24786</v>
      </c>
      <c r="E5" s="5">
        <f t="shared" si="0"/>
        <v>25281.72</v>
      </c>
      <c r="G5" s="51">
        <f>SUM(C5-C24)</f>
        <v>0</v>
      </c>
      <c r="H5" s="67" t="s">
        <v>9</v>
      </c>
    </row>
    <row r="6" spans="1:8" x14ac:dyDescent="0.3">
      <c r="A6" s="4" t="s">
        <v>10</v>
      </c>
      <c r="B6" s="5">
        <v>0</v>
      </c>
      <c r="C6" s="5">
        <f>I25</f>
        <v>5000</v>
      </c>
      <c r="D6" s="5">
        <f>I43</f>
        <v>10100</v>
      </c>
      <c r="E6" s="5">
        <f t="shared" si="0"/>
        <v>15302</v>
      </c>
      <c r="G6" s="65">
        <f>SUM(C6)</f>
        <v>5000</v>
      </c>
      <c r="H6" s="67" t="s">
        <v>10</v>
      </c>
    </row>
    <row r="7" spans="1:8" x14ac:dyDescent="0.3">
      <c r="A7" s="4" t="s">
        <v>11</v>
      </c>
      <c r="B7" s="5">
        <v>87631.473301683989</v>
      </c>
      <c r="C7" s="5">
        <f t="shared" ref="C7" si="1">I26</f>
        <v>119384.10276771768</v>
      </c>
      <c r="D7" s="5">
        <f t="shared" ref="D7" si="2">I44</f>
        <v>121771.78482307203</v>
      </c>
      <c r="E7" s="5">
        <f t="shared" ref="E7" si="3">I62</f>
        <v>124207.22051953347</v>
      </c>
      <c r="F7" s="52"/>
      <c r="G7" s="66">
        <f>SUM(G2:G6)</f>
        <v>63622.54</v>
      </c>
      <c r="H7" s="64" t="s">
        <v>12</v>
      </c>
    </row>
    <row r="8" spans="1:8" x14ac:dyDescent="0.3">
      <c r="A8" s="6" t="s">
        <v>13</v>
      </c>
      <c r="B8" s="6">
        <v>225908.47330168399</v>
      </c>
      <c r="C8" s="6">
        <f t="shared" ref="C8:C11" si="4">I27</f>
        <v>321283.64276771765</v>
      </c>
      <c r="D8" s="6">
        <f t="shared" ref="D8:D12" si="5">I45</f>
        <v>324111.67562307202</v>
      </c>
      <c r="E8" s="6">
        <f t="shared" ref="E8:E14" si="6">I63</f>
        <v>327797.26913553348</v>
      </c>
      <c r="F8" s="52"/>
      <c r="G8" s="52"/>
    </row>
    <row r="9" spans="1:8" x14ac:dyDescent="0.3">
      <c r="A9" s="5" t="s">
        <v>14</v>
      </c>
      <c r="B9" s="5">
        <v>79886</v>
      </c>
      <c r="C9" s="5">
        <f t="shared" si="4"/>
        <v>152353.72</v>
      </c>
      <c r="D9" s="5">
        <f t="shared" si="5"/>
        <v>168267.79440000001</v>
      </c>
      <c r="E9" s="5">
        <f t="shared" si="6"/>
        <v>168633.150288</v>
      </c>
      <c r="F9" s="52"/>
      <c r="G9" s="52"/>
    </row>
    <row r="10" spans="1:8" x14ac:dyDescent="0.3">
      <c r="A10" s="5" t="s">
        <v>15</v>
      </c>
      <c r="B10" s="5">
        <v>99542.371737204303</v>
      </c>
      <c r="C10" s="5">
        <f t="shared" si="4"/>
        <v>92941.8111719484</v>
      </c>
      <c r="D10" s="5">
        <f t="shared" si="5"/>
        <v>92310.007395387365</v>
      </c>
      <c r="E10" s="5">
        <f t="shared" si="6"/>
        <v>94146.20754329511</v>
      </c>
      <c r="G10" s="80"/>
    </row>
    <row r="11" spans="1:8" x14ac:dyDescent="0.3">
      <c r="A11" s="5" t="s">
        <v>16</v>
      </c>
      <c r="B11" s="5">
        <v>620583.15</v>
      </c>
      <c r="C11" s="5">
        <f t="shared" si="4"/>
        <v>670383.73866000003</v>
      </c>
      <c r="D11" s="5">
        <f t="shared" si="5"/>
        <v>700620.13823320006</v>
      </c>
      <c r="E11" s="5">
        <f t="shared" si="6"/>
        <v>717722.53539786406</v>
      </c>
      <c r="G11" s="52"/>
    </row>
    <row r="12" spans="1:8" x14ac:dyDescent="0.3">
      <c r="A12" s="5" t="s">
        <v>17</v>
      </c>
      <c r="B12" s="5">
        <v>24445</v>
      </c>
      <c r="C12" s="5">
        <f>I31</f>
        <v>39038</v>
      </c>
      <c r="D12" s="5">
        <f t="shared" si="5"/>
        <v>42376.92227333333</v>
      </c>
      <c r="E12" s="5">
        <f t="shared" si="6"/>
        <v>43476.92227333333</v>
      </c>
    </row>
    <row r="13" spans="1:8" x14ac:dyDescent="0.3">
      <c r="A13" s="7" t="s">
        <v>18</v>
      </c>
      <c r="B13" s="5"/>
      <c r="C13" s="7">
        <f>I32</f>
        <v>0</v>
      </c>
      <c r="D13" s="7">
        <f>I50</f>
        <v>0</v>
      </c>
      <c r="E13" s="7">
        <f t="shared" si="6"/>
        <v>0</v>
      </c>
    </row>
    <row r="14" spans="1:8" x14ac:dyDescent="0.3">
      <c r="A14" s="13" t="s">
        <v>19</v>
      </c>
      <c r="B14" s="31">
        <f t="shared" ref="B14" si="7">SUM(B8:B13)</f>
        <v>1050364.9950388884</v>
      </c>
      <c r="C14" s="14">
        <f>I33</f>
        <v>1276000.912599666</v>
      </c>
      <c r="D14" s="13">
        <f>I51</f>
        <v>1327686.5379249929</v>
      </c>
      <c r="E14" s="13">
        <f t="shared" si="6"/>
        <v>1351776.0846380261</v>
      </c>
    </row>
    <row r="15" spans="1:8" x14ac:dyDescent="0.3">
      <c r="A15" s="70" t="s">
        <v>20</v>
      </c>
      <c r="B15" s="68">
        <v>100365</v>
      </c>
      <c r="C15" s="68">
        <f>SUM(C14)-C33</f>
        <v>225635.91756077763</v>
      </c>
      <c r="D15" s="68">
        <f>SUM(D14-C14)</f>
        <v>51685.625325326808</v>
      </c>
      <c r="E15" s="68">
        <f>SUM(E14-D14)</f>
        <v>24089.546713033225</v>
      </c>
    </row>
    <row r="16" spans="1:8" x14ac:dyDescent="0.3">
      <c r="A16" s="71" t="s">
        <v>21</v>
      </c>
      <c r="B16" s="69">
        <v>0.1056</v>
      </c>
      <c r="C16" s="69">
        <f>SUM(C14-C33)/C33</f>
        <v>0.2148166767042953</v>
      </c>
      <c r="D16" s="69">
        <f>SUM(D14-C14)/C14</f>
        <v>4.0505946990292405E-2</v>
      </c>
      <c r="E16" s="69">
        <f>SUM(E14-D14)/D14</f>
        <v>1.8144001633610112E-2</v>
      </c>
    </row>
    <row r="17" spans="1:16" x14ac:dyDescent="0.3">
      <c r="A17" s="71" t="s">
        <v>22</v>
      </c>
      <c r="B17" s="71"/>
      <c r="C17" s="68">
        <f>SUM(C14-1107437)</f>
        <v>168563.91259966604</v>
      </c>
      <c r="D17" s="68">
        <f>SUM(D14-1150317)</f>
        <v>177369.53792499285</v>
      </c>
      <c r="E17" s="81" t="s">
        <v>23</v>
      </c>
    </row>
    <row r="18" spans="1:16" x14ac:dyDescent="0.3">
      <c r="A18" s="71" t="s">
        <v>24</v>
      </c>
      <c r="B18" s="71"/>
      <c r="C18" s="69">
        <f>SUM(C14-1107437)/1107437</f>
        <v>0.15221083691412338</v>
      </c>
      <c r="D18" s="69">
        <f>SUM(D14-1150317)/1150317</f>
        <v>0.15419187747811502</v>
      </c>
      <c r="E18" s="82" t="s">
        <v>23</v>
      </c>
      <c r="F18" s="51"/>
    </row>
    <row r="20" spans="1:16" ht="26" x14ac:dyDescent="0.3">
      <c r="A20" s="12" t="s">
        <v>25</v>
      </c>
      <c r="B20" s="12"/>
      <c r="C20" s="2" t="s">
        <v>1</v>
      </c>
      <c r="D20" s="55" t="s">
        <v>26</v>
      </c>
      <c r="E20" s="12" t="s">
        <v>27</v>
      </c>
      <c r="F20" s="2" t="s">
        <v>28</v>
      </c>
      <c r="G20" s="2" t="s">
        <v>29</v>
      </c>
      <c r="H20" s="2" t="s">
        <v>30</v>
      </c>
      <c r="I20" s="2" t="s">
        <v>31</v>
      </c>
      <c r="P20" s="59"/>
    </row>
    <row r="21" spans="1:16" x14ac:dyDescent="0.3">
      <c r="A21" s="16" t="s">
        <v>6</v>
      </c>
      <c r="B21" s="16"/>
      <c r="C21" s="5">
        <v>20498</v>
      </c>
      <c r="D21" s="5">
        <f>(C21+F21)*Index!$B$3</f>
        <v>319.95999999999998</v>
      </c>
      <c r="E21" s="5"/>
      <c r="F21" s="5">
        <f>SUMIF(Tabell6[Kontogrupp],A21,Tabell6[Belopp (tkr)])</f>
        <v>-4500</v>
      </c>
      <c r="G21" s="5">
        <f>SUMIF(Tabell62[Kontogrupp],A21,Tabell62[Belopp (tkr)])</f>
        <v>21900</v>
      </c>
      <c r="H21" s="5">
        <f>SUMIF(Tabell626[Kontogrupp],A21,Tabell626[Belopp (tkr)])</f>
        <v>0</v>
      </c>
      <c r="I21" s="5">
        <f>SUM(C21:H21)</f>
        <v>38217.96</v>
      </c>
      <c r="L21" s="51"/>
    </row>
    <row r="22" spans="1:16" x14ac:dyDescent="0.3">
      <c r="A22" s="16" t="s">
        <v>7</v>
      </c>
      <c r="B22" s="16"/>
      <c r="C22" s="5">
        <v>35596</v>
      </c>
      <c r="D22" s="5">
        <f>(C22+F22)*Index!$B$3</f>
        <v>625.91999999999996</v>
      </c>
      <c r="E22" s="5"/>
      <c r="F22" s="5">
        <f>SUMIF(Tabell6[Kontogrupp],A22,Tabell6[Belopp (tkr)])</f>
        <v>-4300</v>
      </c>
      <c r="G22" s="5">
        <f>SUMIF(Tabell62[Kontogrupp],A22,Tabell62[Belopp (tkr)])</f>
        <v>15522</v>
      </c>
      <c r="H22" s="5">
        <f>SUMIF(Tabell626[Kontogrupp],A22,Tabell626[Belopp (tkr)])</f>
        <v>0</v>
      </c>
      <c r="I22" s="5">
        <f t="shared" ref="I22:I32" si="8">SUM(C22:H22)</f>
        <v>47443.92</v>
      </c>
      <c r="L22" s="51"/>
    </row>
    <row r="23" spans="1:16" x14ac:dyDescent="0.3">
      <c r="A23" s="16" t="s">
        <v>8</v>
      </c>
      <c r="B23" s="16"/>
      <c r="C23" s="5">
        <v>57883</v>
      </c>
      <c r="D23" s="5">
        <f>(C23+F23)*Index!$B$3</f>
        <v>977.66</v>
      </c>
      <c r="E23" s="5"/>
      <c r="F23" s="5">
        <f>SUMIF(Tabell6[Kontogrupp],A23,Tabell6[Belopp (tkr)])</f>
        <v>-9000</v>
      </c>
      <c r="G23" s="5">
        <f>SUMIF(Tabell62[Kontogrupp],A23,Tabell62[Belopp (tkr)])</f>
        <v>14960</v>
      </c>
      <c r="H23" s="5">
        <f>SUMIF(Tabell626[Kontogrupp],A23,Tabell626[Belopp (tkr)])</f>
        <v>22117</v>
      </c>
      <c r="I23" s="5">
        <f t="shared" si="8"/>
        <v>86937.66</v>
      </c>
      <c r="L23" s="51"/>
    </row>
    <row r="24" spans="1:16" x14ac:dyDescent="0.3">
      <c r="A24" s="16" t="s">
        <v>9</v>
      </c>
      <c r="B24" s="16"/>
      <c r="C24" s="5">
        <v>24300</v>
      </c>
      <c r="D24" s="5">
        <f>(C24+F24)*Index!$B$3</f>
        <v>0</v>
      </c>
      <c r="E24" s="5"/>
      <c r="F24" s="5">
        <f>SUMIF(Tabell6[Kontogrupp],A24,Tabell6[Belopp (tkr)])</f>
        <v>-24300</v>
      </c>
      <c r="G24" s="5">
        <f>SUMIF(Tabell62[Kontogrupp],A24,Tabell62[Belopp (tkr)])</f>
        <v>0</v>
      </c>
      <c r="H24" s="5">
        <f>SUMIF(Tabell626[Kontogrupp],A24,Tabell626[Belopp (tkr)])</f>
        <v>24300</v>
      </c>
      <c r="I24" s="5">
        <f t="shared" si="8"/>
        <v>24300</v>
      </c>
      <c r="L24" s="51"/>
    </row>
    <row r="25" spans="1:16" x14ac:dyDescent="0.3">
      <c r="A25" s="16" t="s">
        <v>10</v>
      </c>
      <c r="B25" s="16"/>
      <c r="C25" s="5">
        <v>0</v>
      </c>
      <c r="D25" s="5">
        <f>(C25+F25)*Index!$B$3</f>
        <v>0</v>
      </c>
      <c r="E25" s="5"/>
      <c r="F25" s="5">
        <f>SUMIF(Tabell6[Kontogrupp],A25,Tabell6[Belopp (tkr)])</f>
        <v>0</v>
      </c>
      <c r="G25" s="5">
        <f>SUMIF(Tabell62[Kontogrupp],A25,Tabell62[Belopp (tkr)])</f>
        <v>0</v>
      </c>
      <c r="H25" s="5">
        <f>SUMIF(Tabell626[Kontogrupp],A25,Tabell626[Belopp (tkr)])</f>
        <v>5000</v>
      </c>
      <c r="I25" s="5">
        <f t="shared" si="8"/>
        <v>5000</v>
      </c>
      <c r="L25" s="51"/>
    </row>
    <row r="26" spans="1:16" x14ac:dyDescent="0.3">
      <c r="A26" s="5" t="s">
        <v>32</v>
      </c>
      <c r="B26" s="5"/>
      <c r="C26" s="5">
        <v>87631.473301683989</v>
      </c>
      <c r="D26" s="5">
        <f>(C26+F26)*Index!$B$3</f>
        <v>1752.6294660336798</v>
      </c>
      <c r="E26" s="5"/>
      <c r="F26" s="5">
        <f>SUMIF(Tabell6[Kontogrupp],A26,Tabell6[Belopp (tkr)])</f>
        <v>0</v>
      </c>
      <c r="G26" s="5">
        <f>SUMIF(Tabell62[Kontogrupp],A26,Tabell62[Belopp (tkr)])</f>
        <v>0</v>
      </c>
      <c r="H26" s="5">
        <f>SUMIF(Tabell626[Kontogrupp],A26,Tabell626[Belopp (tkr)])</f>
        <v>30000</v>
      </c>
      <c r="I26" s="5">
        <f t="shared" si="8"/>
        <v>119384.10276771768</v>
      </c>
    </row>
    <row r="27" spans="1:16" x14ac:dyDescent="0.3">
      <c r="A27" s="6" t="s">
        <v>33</v>
      </c>
      <c r="B27" s="6"/>
      <c r="C27" s="6">
        <v>225908.47330168399</v>
      </c>
      <c r="D27" s="6">
        <f>(C27+F27)*Index!$B$3</f>
        <v>3676.1694660336798</v>
      </c>
      <c r="E27" s="6">
        <f>SUM(E21:E26)</f>
        <v>0</v>
      </c>
      <c r="F27" s="6">
        <f>SUM(F21:F26)</f>
        <v>-42100</v>
      </c>
      <c r="G27" s="6">
        <f t="shared" ref="G27" si="9">SUM(G21:G26)</f>
        <v>52382</v>
      </c>
      <c r="H27" s="6">
        <f t="shared" ref="H27" si="10">SUM(H21:H26)</f>
        <v>81417</v>
      </c>
      <c r="I27" s="58">
        <f>SUM(C27:H27)</f>
        <v>321283.64276771765</v>
      </c>
      <c r="M27" s="51"/>
    </row>
    <row r="28" spans="1:16" x14ac:dyDescent="0.3">
      <c r="A28" s="5" t="s">
        <v>14</v>
      </c>
      <c r="B28" s="5"/>
      <c r="C28" s="5">
        <v>79886</v>
      </c>
      <c r="D28" s="5">
        <f>(C28+F28)*Index!$B$3</f>
        <v>1597.72</v>
      </c>
      <c r="E28" s="5"/>
      <c r="F28" s="5">
        <f>SUMIF(Tabell6[Kontogrupp],A28,Tabell6[Belopp (tkr)])</f>
        <v>0</v>
      </c>
      <c r="G28" s="5">
        <f>SUMIF(Tabell62[Kontogrupp],A28,Tabell62[Belopp (tkr)])</f>
        <v>0</v>
      </c>
      <c r="H28" s="5">
        <f>SUMIF(Tabell626[Kontogrupp],A28,Tabell626[Belopp (tkr)])</f>
        <v>70870</v>
      </c>
      <c r="I28" s="5">
        <f>SUM(C28:H28)</f>
        <v>152353.72</v>
      </c>
      <c r="M28" s="51"/>
    </row>
    <row r="29" spans="1:16" x14ac:dyDescent="0.3">
      <c r="A29" s="5" t="s">
        <v>15</v>
      </c>
      <c r="B29" s="5"/>
      <c r="C29" s="5">
        <v>99542.371737204303</v>
      </c>
      <c r="D29" s="5">
        <f>(C29+F29)*Index!$B$3</f>
        <v>1682.8394347440862</v>
      </c>
      <c r="E29" s="5"/>
      <c r="F29" s="5">
        <f>SUMIF(Tabell6[Kontogrupp],A29,Tabell6[Belopp (tkr)])</f>
        <v>-15400.4</v>
      </c>
      <c r="G29" s="5">
        <f>SUMIF(Tabell62[Kontogrupp],A29,Tabell62[Belopp (tkr)])</f>
        <v>2932</v>
      </c>
      <c r="H29" s="5">
        <f>SUMIF(Tabell626[Kontogrupp],A29,Tabell626[Belopp (tkr)])</f>
        <v>4185</v>
      </c>
      <c r="I29" s="5">
        <f t="shared" si="8"/>
        <v>92941.8111719484</v>
      </c>
      <c r="M29" s="51"/>
    </row>
    <row r="30" spans="1:16" x14ac:dyDescent="0.3">
      <c r="A30" s="5" t="s">
        <v>16</v>
      </c>
      <c r="B30" s="5"/>
      <c r="C30" s="5">
        <v>620583.15</v>
      </c>
      <c r="D30" s="5">
        <f>(C30+F30)*Index!$B$3</f>
        <v>12344.195660000001</v>
      </c>
      <c r="E30" s="5"/>
      <c r="F30" s="5">
        <f>SUMIF(Tabell6[Kontogrupp],A30,Tabell6[Belopp (tkr)])</f>
        <v>-3373.3670000000002</v>
      </c>
      <c r="G30" s="5">
        <f>SUMIF(Tabell62[Kontogrupp],A30,Tabell62[Belopp (tkr)])</f>
        <v>2039.76</v>
      </c>
      <c r="H30" s="5">
        <f>SUMIF(Tabell626[Kontogrupp],A30,Tabell626[Belopp (tkr)])</f>
        <v>38790</v>
      </c>
      <c r="I30" s="5">
        <f t="shared" si="8"/>
        <v>670383.73866000003</v>
      </c>
      <c r="M30" s="51"/>
    </row>
    <row r="31" spans="1:16" x14ac:dyDescent="0.3">
      <c r="A31" s="5" t="s">
        <v>17</v>
      </c>
      <c r="B31" s="5"/>
      <c r="C31" s="5">
        <v>24445</v>
      </c>
      <c r="D31" s="5"/>
      <c r="E31" s="5">
        <f>'Avskrivningar 2024-2026'!C13</f>
        <v>14593</v>
      </c>
      <c r="F31" s="5">
        <f>SUMIF(Tabell6[Kontogrupp],A31,Tabell6[Belopp (tkr)])</f>
        <v>0</v>
      </c>
      <c r="G31" s="5">
        <f>SUMIF(Tabell62[Kontogrupp],A31,Tabell62[Belopp (tkr)])</f>
        <v>0</v>
      </c>
      <c r="H31" s="5">
        <f>SUMIF(Tabell626[Kontogrupp],A31,Tabell626[Belopp (tkr)])</f>
        <v>0</v>
      </c>
      <c r="I31" s="5">
        <f t="shared" si="8"/>
        <v>39038</v>
      </c>
      <c r="M31" s="51"/>
      <c r="O31" s="51"/>
    </row>
    <row r="32" spans="1:16" x14ac:dyDescent="0.3">
      <c r="A32" s="5" t="s">
        <v>18</v>
      </c>
      <c r="B32" s="5"/>
      <c r="C32" s="5"/>
      <c r="D32" s="5"/>
      <c r="E32" s="5"/>
      <c r="F32" s="5"/>
      <c r="G32" s="5"/>
      <c r="H32" s="5"/>
      <c r="I32" s="5">
        <f t="shared" si="8"/>
        <v>0</v>
      </c>
      <c r="M32" s="51"/>
    </row>
    <row r="33" spans="1:13" x14ac:dyDescent="0.3">
      <c r="A33" s="31" t="s">
        <v>19</v>
      </c>
      <c r="B33" s="31"/>
      <c r="C33" s="31">
        <f t="shared" ref="C33:E33" si="11">SUM(C27:C32)</f>
        <v>1050364.9950388884</v>
      </c>
      <c r="D33" s="31">
        <f>SUM(D27:D32)</f>
        <v>19300.924560777767</v>
      </c>
      <c r="E33" s="31">
        <f t="shared" si="11"/>
        <v>14593</v>
      </c>
      <c r="F33" s="31">
        <f>SUM(F27:F32)</f>
        <v>-60873.767</v>
      </c>
      <c r="G33" s="31">
        <f>SUM(G27:G32)</f>
        <v>57353.760000000002</v>
      </c>
      <c r="H33" s="31">
        <f>SUM(H27:H32)</f>
        <v>195262</v>
      </c>
      <c r="I33" s="31">
        <f>SUM(I27:I32)</f>
        <v>1276000.912599666</v>
      </c>
      <c r="M33" s="51"/>
    </row>
    <row r="34" spans="1:13" x14ac:dyDescent="0.3">
      <c r="A34" s="1"/>
      <c r="B34" s="1"/>
      <c r="C34" s="1"/>
      <c r="D34" s="1"/>
      <c r="E34" s="1"/>
      <c r="F34" s="1"/>
      <c r="G34" s="1"/>
      <c r="H34" s="8"/>
      <c r="I34" s="8"/>
    </row>
    <row r="37" spans="1:13" x14ac:dyDescent="0.3">
      <c r="F37" s="52"/>
    </row>
    <row r="38" spans="1:13" ht="26" x14ac:dyDescent="0.3">
      <c r="A38" s="12" t="s">
        <v>34</v>
      </c>
      <c r="B38" s="89"/>
      <c r="C38" s="9" t="s">
        <v>2</v>
      </c>
      <c r="D38" s="9" t="s">
        <v>26</v>
      </c>
      <c r="E38" s="12" t="s">
        <v>35</v>
      </c>
      <c r="F38" s="9" t="s">
        <v>36</v>
      </c>
      <c r="G38" s="9" t="s">
        <v>37</v>
      </c>
      <c r="H38" s="2" t="s">
        <v>30</v>
      </c>
      <c r="I38" s="9" t="s">
        <v>38</v>
      </c>
    </row>
    <row r="39" spans="1:13" x14ac:dyDescent="0.3">
      <c r="A39" s="5" t="s">
        <v>6</v>
      </c>
      <c r="B39" s="5"/>
      <c r="C39" s="5">
        <f>I21</f>
        <v>38217.96</v>
      </c>
      <c r="D39" s="5">
        <f>(C39+F39)*Index!$C$3</f>
        <v>326.35919999999999</v>
      </c>
      <c r="E39" s="5"/>
      <c r="F39" s="5">
        <f>SUM(G21)*-1</f>
        <v>-21900</v>
      </c>
      <c r="G39" s="5">
        <f>SUMIF(Tabell83[Kontogrupp],A39,Tabell83[Belopp (tkr)])</f>
        <v>11900</v>
      </c>
      <c r="H39" s="5">
        <f>SUMIF(Tabell838[Kontogrupp],A39,Tabell838[Belopp (tkr)])</f>
        <v>0</v>
      </c>
      <c r="I39" s="5">
        <f>SUM(C39:H39)</f>
        <v>28544.319199999998</v>
      </c>
    </row>
    <row r="40" spans="1:13" x14ac:dyDescent="0.3">
      <c r="A40" s="5" t="s">
        <v>7</v>
      </c>
      <c r="B40" s="5"/>
      <c r="C40" s="5">
        <f t="shared" ref="C40:C51" si="12">I22</f>
        <v>47443.92</v>
      </c>
      <c r="D40" s="5">
        <f>(C40+F40)*Index!$C$3</f>
        <v>638.4384</v>
      </c>
      <c r="E40" s="5"/>
      <c r="F40" s="5">
        <f>SUM(G22)*-1</f>
        <v>-15522</v>
      </c>
      <c r="G40" s="5">
        <f>SUMIF(Tabell83[Kontogrupp],A40,Tabell83[Belopp (tkr)])</f>
        <v>11472</v>
      </c>
      <c r="H40" s="5">
        <f>SUMIF(Tabell838[Kontogrupp],A40,Tabell838[Belopp (tkr)])</f>
        <v>0</v>
      </c>
      <c r="I40" s="5">
        <f t="shared" ref="I40:I50" si="13">SUM(C40:H40)</f>
        <v>44032.358399999997</v>
      </c>
    </row>
    <row r="41" spans="1:13" x14ac:dyDescent="0.3">
      <c r="A41" s="5" t="s">
        <v>8</v>
      </c>
      <c r="B41" s="5"/>
      <c r="C41" s="5">
        <f t="shared" si="12"/>
        <v>86937.66</v>
      </c>
      <c r="D41" s="5">
        <f>(C41+F41)*Index!$C$3</f>
        <v>1439.5532000000001</v>
      </c>
      <c r="E41" s="5"/>
      <c r="F41" s="5">
        <f t="shared" ref="F41:F44" si="14">SUM(G23)*-1</f>
        <v>-14960</v>
      </c>
      <c r="G41" s="5">
        <f>SUMIF(Tabell83[Kontogrupp],A41,Tabell83[Belopp (tkr)])</f>
        <v>16460</v>
      </c>
      <c r="H41" s="5">
        <f>SUMIF(Tabell838[Kontogrupp],A41,Tabell838[Belopp (tkr)])</f>
        <v>5000</v>
      </c>
      <c r="I41" s="5">
        <f t="shared" si="13"/>
        <v>94877.213199999998</v>
      </c>
    </row>
    <row r="42" spans="1:13" x14ac:dyDescent="0.3">
      <c r="A42" s="5" t="s">
        <v>9</v>
      </c>
      <c r="B42" s="5"/>
      <c r="C42" s="5">
        <f t="shared" si="12"/>
        <v>24300</v>
      </c>
      <c r="D42" s="5">
        <f>(C42+F42)*Index!$C$3</f>
        <v>486</v>
      </c>
      <c r="E42" s="5"/>
      <c r="F42" s="5">
        <f>SUM(G24)*-1</f>
        <v>0</v>
      </c>
      <c r="G42" s="5">
        <f>SUMIF(Tabell83[Kontogrupp],A42,Tabell83[Belopp (tkr)])</f>
        <v>0</v>
      </c>
      <c r="H42" s="5">
        <f>SUMIF(Tabell838[Kontogrupp],A42,Tabell838[Belopp (tkr)])</f>
        <v>0</v>
      </c>
      <c r="I42" s="5">
        <f t="shared" si="13"/>
        <v>24786</v>
      </c>
    </row>
    <row r="43" spans="1:13" x14ac:dyDescent="0.3">
      <c r="A43" s="5" t="s">
        <v>10</v>
      </c>
      <c r="B43" s="5"/>
      <c r="C43" s="5">
        <f t="shared" si="12"/>
        <v>5000</v>
      </c>
      <c r="D43" s="5">
        <f>(C43+F43)*Index!$C$3</f>
        <v>100</v>
      </c>
      <c r="E43" s="5"/>
      <c r="F43" s="5">
        <f t="shared" si="14"/>
        <v>0</v>
      </c>
      <c r="G43" s="5">
        <f>SUMIF(Tabell83[Kontogrupp],A43,Tabell83[Belopp (tkr)])</f>
        <v>0</v>
      </c>
      <c r="H43" s="5">
        <f>SUMIF(Tabell838[Kontogrupp],A43,Tabell838[Belopp (tkr)])</f>
        <v>5000</v>
      </c>
      <c r="I43" s="5">
        <f t="shared" si="13"/>
        <v>10100</v>
      </c>
    </row>
    <row r="44" spans="1:13" x14ac:dyDescent="0.3">
      <c r="A44" s="5" t="s">
        <v>32</v>
      </c>
      <c r="B44" s="5"/>
      <c r="C44" s="5">
        <f t="shared" si="12"/>
        <v>119384.10276771768</v>
      </c>
      <c r="D44" s="5">
        <f>(C44+F44)*Index!$C$3</f>
        <v>2387.6820553543535</v>
      </c>
      <c r="E44" s="5"/>
      <c r="F44" s="5">
        <f t="shared" si="14"/>
        <v>0</v>
      </c>
      <c r="G44" s="5">
        <f>SUMIF(Tabell83[Kontogrupp],A44,Tabell83[Belopp (tkr)])</f>
        <v>0</v>
      </c>
      <c r="H44" s="5">
        <f>SUMIF(Tabell838[Kontogrupp],A44,Tabell838[Belopp (tkr)])</f>
        <v>0</v>
      </c>
      <c r="I44" s="5">
        <f t="shared" si="13"/>
        <v>121771.78482307203</v>
      </c>
    </row>
    <row r="45" spans="1:13" x14ac:dyDescent="0.3">
      <c r="A45" s="6" t="s">
        <v>33</v>
      </c>
      <c r="B45" s="6"/>
      <c r="C45" s="6">
        <f t="shared" si="12"/>
        <v>321283.64276771765</v>
      </c>
      <c r="D45" s="6">
        <f>(C45+F45)*Index!$C$3</f>
        <v>5378.0328553543532</v>
      </c>
      <c r="E45" s="6">
        <f t="shared" ref="E45:H45" si="15">SUM(E39:E44)</f>
        <v>0</v>
      </c>
      <c r="F45" s="6">
        <f>SUM(F39:F44)</f>
        <v>-52382</v>
      </c>
      <c r="G45" s="6">
        <f t="shared" si="15"/>
        <v>39832</v>
      </c>
      <c r="H45" s="6">
        <f t="shared" si="15"/>
        <v>10000</v>
      </c>
      <c r="I45" s="58">
        <f t="shared" si="13"/>
        <v>324111.67562307202</v>
      </c>
    </row>
    <row r="46" spans="1:13" x14ac:dyDescent="0.3">
      <c r="A46" s="5" t="s">
        <v>14</v>
      </c>
      <c r="B46" s="5"/>
      <c r="C46" s="5">
        <f t="shared" si="12"/>
        <v>152353.72</v>
      </c>
      <c r="D46" s="5">
        <f>(C46+F46)*Index!$C$3</f>
        <v>3047.0744</v>
      </c>
      <c r="E46" s="5"/>
      <c r="F46" s="5">
        <f>SUM(G28)*-1</f>
        <v>0</v>
      </c>
      <c r="G46" s="5">
        <f>SUMIF(Tabell83[Kontogrupp],A46,Tabell83[Belopp (tkr)])</f>
        <v>0</v>
      </c>
      <c r="H46" s="5">
        <f>SUMIF(Tabell838[Kontogrupp],A46,Tabell838[Belopp (tkr)])</f>
        <v>12867</v>
      </c>
      <c r="I46" s="5">
        <f t="shared" si="13"/>
        <v>168267.79440000001</v>
      </c>
    </row>
    <row r="47" spans="1:13" x14ac:dyDescent="0.3">
      <c r="A47" s="5" t="s">
        <v>15</v>
      </c>
      <c r="B47" s="5"/>
      <c r="C47" s="5">
        <f t="shared" si="12"/>
        <v>92941.8111719484</v>
      </c>
      <c r="D47" s="5">
        <f>(C47+F47)*Index!$C$3</f>
        <v>1800.196223438968</v>
      </c>
      <c r="E47" s="5"/>
      <c r="F47" s="5">
        <f>SUM(G29*-1)</f>
        <v>-2932</v>
      </c>
      <c r="G47" s="5">
        <f>SUMIF(Tabell83[Kontogrupp],A47,Tabell83[Belopp (tkr)])</f>
        <v>500</v>
      </c>
      <c r="H47" s="5">
        <f>SUMIF(Tabell838[Kontogrupp],A47,Tabell838[Belopp (tkr)])</f>
        <v>0</v>
      </c>
      <c r="I47" s="5">
        <f t="shared" si="13"/>
        <v>92310.007395387365</v>
      </c>
    </row>
    <row r="48" spans="1:13" x14ac:dyDescent="0.3">
      <c r="A48" s="5" t="s">
        <v>16</v>
      </c>
      <c r="B48" s="5"/>
      <c r="C48" s="5">
        <f t="shared" si="12"/>
        <v>670383.73866000003</v>
      </c>
      <c r="D48" s="5">
        <f>(C48+F48)*Index!$C$3</f>
        <v>13366.8795732</v>
      </c>
      <c r="E48" s="5"/>
      <c r="F48" s="5">
        <f t="shared" ref="F48" si="16">SUM(G30)*-1</f>
        <v>-2039.76</v>
      </c>
      <c r="G48" s="5">
        <f>SUMIF(Tabell83[Kontogrupp],A48,Tabell83[Belopp (tkr)])</f>
        <v>1300.28</v>
      </c>
      <c r="H48" s="5">
        <f>SUMIF(Tabell838[Kontogrupp],A48,Tabell838[Belopp (tkr)])</f>
        <v>17609</v>
      </c>
      <c r="I48" s="5">
        <f>SUM(C48:H48)</f>
        <v>700620.13823320006</v>
      </c>
      <c r="J48" s="52"/>
    </row>
    <row r="49" spans="1:9" x14ac:dyDescent="0.3">
      <c r="A49" s="5" t="s">
        <v>17</v>
      </c>
      <c r="B49" s="5"/>
      <c r="C49" s="5">
        <f t="shared" si="12"/>
        <v>39038</v>
      </c>
      <c r="D49" s="5"/>
      <c r="E49" s="5">
        <f>'Avskrivningar 2024-2026'!E13</f>
        <v>3338.9222733333299</v>
      </c>
      <c r="F49" s="5">
        <f t="shared" ref="F49" si="17">SUM(G31*-1)</f>
        <v>0</v>
      </c>
      <c r="G49" s="5">
        <f>SUMIF(Tabell83[Kontogrupp],A49,Tabell83[Belopp (tkr)])</f>
        <v>0</v>
      </c>
      <c r="H49" s="5">
        <f>SUMIF(Tabell838[Kontogrupp],A49,Tabell838[Belopp (tkr)])</f>
        <v>0</v>
      </c>
      <c r="I49" s="5">
        <f t="shared" si="13"/>
        <v>42376.92227333333</v>
      </c>
    </row>
    <row r="50" spans="1:9" x14ac:dyDescent="0.3">
      <c r="A50" s="5" t="s">
        <v>18</v>
      </c>
      <c r="B50" s="5"/>
      <c r="C50" s="5">
        <f t="shared" si="12"/>
        <v>0</v>
      </c>
      <c r="D50" s="5"/>
      <c r="E50" s="5"/>
      <c r="F50" s="5">
        <f t="shared" ref="F50" si="18">SUM(G32)*-1</f>
        <v>0</v>
      </c>
      <c r="G50" s="5"/>
      <c r="H50" s="5"/>
      <c r="I50" s="5">
        <f t="shared" si="13"/>
        <v>0</v>
      </c>
    </row>
    <row r="51" spans="1:9" x14ac:dyDescent="0.3">
      <c r="A51" s="31" t="s">
        <v>19</v>
      </c>
      <c r="B51" s="31"/>
      <c r="C51" s="31">
        <f t="shared" si="12"/>
        <v>1276000.912599666</v>
      </c>
      <c r="D51" s="31">
        <f t="shared" ref="D51:I51" si="19">SUM(D45:D50)</f>
        <v>23592.183051993321</v>
      </c>
      <c r="E51" s="31">
        <f t="shared" si="19"/>
        <v>3338.9222733333299</v>
      </c>
      <c r="F51" s="31">
        <f t="shared" si="19"/>
        <v>-57353.760000000002</v>
      </c>
      <c r="G51" s="31">
        <f t="shared" si="19"/>
        <v>41632.28</v>
      </c>
      <c r="H51" s="31">
        <f t="shared" si="19"/>
        <v>40476</v>
      </c>
      <c r="I51" s="31">
        <f t="shared" si="19"/>
        <v>1327686.5379249929</v>
      </c>
    </row>
    <row r="55" spans="1:9" x14ac:dyDescent="0.3">
      <c r="A55" s="10"/>
      <c r="B55" s="10"/>
      <c r="C55" s="10"/>
      <c r="D55" s="10"/>
      <c r="E55" s="10"/>
      <c r="F55" s="10"/>
      <c r="G55" s="10"/>
      <c r="H55" s="10"/>
      <c r="I55" s="10"/>
    </row>
    <row r="56" spans="1:9" ht="26" x14ac:dyDescent="0.3">
      <c r="A56" s="12" t="s">
        <v>39</v>
      </c>
      <c r="B56" s="12"/>
      <c r="C56" s="2" t="s">
        <v>3</v>
      </c>
      <c r="D56" s="2" t="s">
        <v>26</v>
      </c>
      <c r="E56" s="12" t="s">
        <v>40</v>
      </c>
      <c r="F56" s="2" t="s">
        <v>41</v>
      </c>
      <c r="G56" s="2" t="s">
        <v>42</v>
      </c>
      <c r="H56" s="2" t="s">
        <v>30</v>
      </c>
      <c r="I56" s="2" t="s">
        <v>43</v>
      </c>
    </row>
    <row r="57" spans="1:9" x14ac:dyDescent="0.3">
      <c r="A57" s="5" t="s">
        <v>6</v>
      </c>
      <c r="B57" s="5"/>
      <c r="C57" s="5">
        <f t="shared" ref="C57:C69" si="20">I39</f>
        <v>28544.319199999998</v>
      </c>
      <c r="D57" s="5">
        <f>(C57+F57)*Index!$D$3</f>
        <v>332.88638399999996</v>
      </c>
      <c r="E57" s="5"/>
      <c r="F57" s="5">
        <f>SUM(G39)*-1</f>
        <v>-11900</v>
      </c>
      <c r="G57" s="5">
        <f>SUMIF(Tabell94[Kontogrupp],A57,Tabell94[Belopp (tkr)])</f>
        <v>7000</v>
      </c>
      <c r="H57" s="5">
        <f>SUMIF(Tabell9411[Kontogrupp],A57,Tabell9411[Belopp (tkr)])</f>
        <v>0</v>
      </c>
      <c r="I57" s="5">
        <f>SUM(C57:H57)</f>
        <v>23977.205583999999</v>
      </c>
    </row>
    <row r="58" spans="1:9" x14ac:dyDescent="0.3">
      <c r="A58" s="5" t="s">
        <v>7</v>
      </c>
      <c r="B58" s="5"/>
      <c r="C58" s="5">
        <f t="shared" si="20"/>
        <v>44032.358399999997</v>
      </c>
      <c r="D58" s="5">
        <f>(C58+F58)*Index!$D$3</f>
        <v>651.20716799999991</v>
      </c>
      <c r="E58" s="5"/>
      <c r="F58" s="5">
        <f>SUM(G40*-1)</f>
        <v>-11472</v>
      </c>
      <c r="G58" s="5">
        <f>SUMIF(Tabell94[Kontogrupp],A58,Tabell94[Belopp (tkr)])</f>
        <v>9272</v>
      </c>
      <c r="H58" s="5">
        <f>SUMIF(Tabell9411[Kontogrupp],A58,Tabell9411[Belopp (tkr)])</f>
        <v>0</v>
      </c>
      <c r="I58" s="5">
        <f t="shared" ref="I58:I68" si="21">SUM(C58:H58)</f>
        <v>42483.565567999998</v>
      </c>
    </row>
    <row r="59" spans="1:9" x14ac:dyDescent="0.3">
      <c r="A59" s="5" t="s">
        <v>8</v>
      </c>
      <c r="B59" s="5"/>
      <c r="C59" s="5">
        <f t="shared" si="20"/>
        <v>94877.213199999998</v>
      </c>
      <c r="D59" s="5">
        <f>(C59+F59)*Index!$D$3</f>
        <v>1568.3442640000001</v>
      </c>
      <c r="E59" s="5"/>
      <c r="F59" s="5">
        <f t="shared" ref="F59" si="22">SUM(G41)*-1</f>
        <v>-16460</v>
      </c>
      <c r="G59" s="5">
        <f>SUMIF(Tabell94[Kontogrupp],A59,Tabell94[Belopp (tkr)])</f>
        <v>11560</v>
      </c>
      <c r="H59" s="5">
        <f>SUMIF(Tabell9411[Kontogrupp],A59,Tabell9411[Belopp (tkr)])</f>
        <v>5000</v>
      </c>
      <c r="I59" s="5">
        <f t="shared" si="21"/>
        <v>96545.557463999998</v>
      </c>
    </row>
    <row r="60" spans="1:9" x14ac:dyDescent="0.3">
      <c r="A60" s="5" t="s">
        <v>9</v>
      </c>
      <c r="B60" s="5"/>
      <c r="C60" s="5">
        <f t="shared" si="20"/>
        <v>24786</v>
      </c>
      <c r="D60" s="5">
        <f>(C60+F60)*Index!$D$3</f>
        <v>495.72</v>
      </c>
      <c r="E60" s="5"/>
      <c r="F60" s="5">
        <f t="shared" ref="F60" si="23">SUM(G42*-1)</f>
        <v>0</v>
      </c>
      <c r="G60" s="5">
        <f>SUMIF(Tabell94[Kontogrupp],A60,Tabell94[Belopp (tkr)])</f>
        <v>0</v>
      </c>
      <c r="H60" s="5">
        <f>SUMIF(Tabell9411[Kontogrupp],A60,Tabell9411[Belopp (tkr)])</f>
        <v>0</v>
      </c>
      <c r="I60" s="5">
        <f t="shared" si="21"/>
        <v>25281.72</v>
      </c>
    </row>
    <row r="61" spans="1:9" x14ac:dyDescent="0.3">
      <c r="A61" s="5" t="s">
        <v>10</v>
      </c>
      <c r="B61" s="5"/>
      <c r="C61" s="5">
        <f t="shared" si="20"/>
        <v>10100</v>
      </c>
      <c r="D61" s="5">
        <f>(C61+F61)*Index!$D$3</f>
        <v>202</v>
      </c>
      <c r="E61" s="5"/>
      <c r="F61" s="5">
        <f t="shared" ref="F61" si="24">SUM(G43)*-1</f>
        <v>0</v>
      </c>
      <c r="G61" s="5">
        <f>SUMIF(Tabell94[Kontogrupp],A61,Tabell94[Belopp (tkr)])</f>
        <v>0</v>
      </c>
      <c r="H61" s="5">
        <f>SUMIF(Tabell9411[Kontogrupp],A61,Tabell9411[Belopp (tkr)])</f>
        <v>5000</v>
      </c>
      <c r="I61" s="5">
        <f t="shared" si="21"/>
        <v>15302</v>
      </c>
    </row>
    <row r="62" spans="1:9" x14ac:dyDescent="0.3">
      <c r="A62" s="5" t="s">
        <v>32</v>
      </c>
      <c r="B62" s="5"/>
      <c r="C62" s="5">
        <f t="shared" si="20"/>
        <v>121771.78482307203</v>
      </c>
      <c r="D62" s="5">
        <f>(C62+F62)*Index!$D$3</f>
        <v>2435.4356964614408</v>
      </c>
      <c r="E62" s="5"/>
      <c r="F62" s="5">
        <f t="shared" ref="F62" si="25">SUM(G44*-1)</f>
        <v>0</v>
      </c>
      <c r="G62" s="5">
        <f>SUMIF(Tabell94[Kontogrupp],A62,Tabell94[Belopp (tkr)])</f>
        <v>0</v>
      </c>
      <c r="H62" s="5">
        <f>SUMIF(Tabell9411[Kontogrupp],A62,Tabell9411[Belopp (tkr)])</f>
        <v>0</v>
      </c>
      <c r="I62" s="5">
        <f t="shared" si="21"/>
        <v>124207.22051953347</v>
      </c>
    </row>
    <row r="63" spans="1:9" x14ac:dyDescent="0.3">
      <c r="A63" s="6" t="s">
        <v>33</v>
      </c>
      <c r="B63" s="6"/>
      <c r="C63" s="6">
        <f t="shared" si="20"/>
        <v>324111.67562307202</v>
      </c>
      <c r="D63" s="58">
        <f>(C63+F63)*Index!$D$3</f>
        <v>5685.5935124614407</v>
      </c>
      <c r="E63" s="6"/>
      <c r="F63" s="6">
        <f>SUM(F57:F62)</f>
        <v>-39832</v>
      </c>
      <c r="G63" s="6">
        <f t="shared" ref="G63:H63" si="26">SUM(G57:G62)</f>
        <v>27832</v>
      </c>
      <c r="H63" s="6">
        <f t="shared" si="26"/>
        <v>10000</v>
      </c>
      <c r="I63" s="58">
        <f t="shared" si="21"/>
        <v>327797.26913553348</v>
      </c>
    </row>
    <row r="64" spans="1:9" x14ac:dyDescent="0.3">
      <c r="A64" s="5" t="s">
        <v>14</v>
      </c>
      <c r="B64" s="5"/>
      <c r="C64" s="5">
        <f t="shared" si="20"/>
        <v>168267.79440000001</v>
      </c>
      <c r="D64" s="5">
        <f>(C64+F64)*Index!$D$3</f>
        <v>3365.3558880000005</v>
      </c>
      <c r="E64" s="5"/>
      <c r="F64" s="5">
        <f>SUM(G46*-1)</f>
        <v>0</v>
      </c>
      <c r="G64" s="5">
        <f>SUMIF(Tabell94[Kontogrupp],A64,Tabell94[Belopp (tkr)])</f>
        <v>0</v>
      </c>
      <c r="H64" s="5">
        <f>SUMIF(Tabell9411[Kontogrupp],A64,Tabell9411[Belopp (tkr)])</f>
        <v>-3000</v>
      </c>
      <c r="I64" s="5">
        <f t="shared" si="21"/>
        <v>168633.150288</v>
      </c>
    </row>
    <row r="65" spans="1:10" x14ac:dyDescent="0.3">
      <c r="A65" s="5" t="s">
        <v>15</v>
      </c>
      <c r="B65" s="5"/>
      <c r="C65" s="5">
        <f t="shared" si="20"/>
        <v>92310.007395387365</v>
      </c>
      <c r="D65" s="5">
        <f>(C65+F65)*Index!$D$3</f>
        <v>1836.2001479077474</v>
      </c>
      <c r="E65" s="5"/>
      <c r="F65" s="5">
        <f t="shared" ref="F65:F68" si="27">SUM(G47*-1)</f>
        <v>-500</v>
      </c>
      <c r="G65" s="5">
        <f>SUMIF(Tabell94[Kontogrupp],A65,Tabell94[Belopp (tkr)])</f>
        <v>500</v>
      </c>
      <c r="H65" s="5">
        <f>SUMIF(Tabell9411[Kontogrupp],A65,Tabell9411[Belopp (tkr)])</f>
        <v>0</v>
      </c>
      <c r="I65" s="5">
        <f t="shared" si="21"/>
        <v>94146.20754329511</v>
      </c>
    </row>
    <row r="66" spans="1:10" x14ac:dyDescent="0.3">
      <c r="A66" s="5" t="s">
        <v>16</v>
      </c>
      <c r="B66" s="5"/>
      <c r="C66" s="5">
        <f t="shared" si="20"/>
        <v>700620.13823320006</v>
      </c>
      <c r="D66" s="5">
        <f>(C66+F66)*Index!$D$3</f>
        <v>13986.397164664</v>
      </c>
      <c r="E66" s="5"/>
      <c r="F66" s="5">
        <f t="shared" si="27"/>
        <v>-1300.28</v>
      </c>
      <c r="G66" s="5">
        <f>SUMIF(Tabell94[Kontogrupp],A66,Tabell94[Belopp (tkr)])</f>
        <v>1300.28</v>
      </c>
      <c r="H66" s="5">
        <f>SUMIF(Tabell9411[Kontogrupp],A66,Tabell9411[Belopp (tkr)])</f>
        <v>3116</v>
      </c>
      <c r="I66" s="5">
        <f t="shared" si="21"/>
        <v>717722.53539786406</v>
      </c>
      <c r="J66" s="52"/>
    </row>
    <row r="67" spans="1:10" x14ac:dyDescent="0.3">
      <c r="A67" s="5" t="s">
        <v>17</v>
      </c>
      <c r="B67" s="5"/>
      <c r="C67" s="5">
        <f t="shared" si="20"/>
        <v>42376.92227333333</v>
      </c>
      <c r="D67" s="5"/>
      <c r="E67" s="5">
        <f>'Avskrivningar 2024-2026'!G13</f>
        <v>1100</v>
      </c>
      <c r="F67" s="5">
        <f t="shared" si="27"/>
        <v>0</v>
      </c>
      <c r="G67" s="5">
        <f>SUMIF(Tabell94[Kontogrupp],A67,Tabell94[Belopp (tkr)])</f>
        <v>0</v>
      </c>
      <c r="H67" s="5">
        <f>SUMIF(Tabell9411[Kontogrupp],A67,Tabell9411[Belopp (tkr)])</f>
        <v>0</v>
      </c>
      <c r="I67" s="5">
        <f t="shared" si="21"/>
        <v>43476.92227333333</v>
      </c>
    </row>
    <row r="68" spans="1:10" x14ac:dyDescent="0.3">
      <c r="A68" s="5" t="s">
        <v>18</v>
      </c>
      <c r="B68" s="5"/>
      <c r="C68" s="5">
        <f t="shared" si="20"/>
        <v>0</v>
      </c>
      <c r="D68" s="5"/>
      <c r="E68" s="5"/>
      <c r="F68" s="5">
        <f t="shared" si="27"/>
        <v>0</v>
      </c>
      <c r="G68" s="5"/>
      <c r="H68" s="5"/>
      <c r="I68" s="5">
        <f t="shared" si="21"/>
        <v>0</v>
      </c>
    </row>
    <row r="69" spans="1:10" x14ac:dyDescent="0.3">
      <c r="A69" s="31" t="s">
        <v>19</v>
      </c>
      <c r="B69" s="31"/>
      <c r="C69" s="31">
        <f t="shared" si="20"/>
        <v>1327686.5379249929</v>
      </c>
      <c r="D69" s="31">
        <f>SUM(D63:D67)</f>
        <v>24873.546713033189</v>
      </c>
      <c r="E69" s="31">
        <f>SUM(E57:E67)</f>
        <v>1100</v>
      </c>
      <c r="F69" s="31">
        <f>SUM(F63:F68)</f>
        <v>-41632.28</v>
      </c>
      <c r="G69" s="31">
        <f>SUM(G63:G67)</f>
        <v>29632.28</v>
      </c>
      <c r="H69" s="31">
        <f>SUM(H63:H68)</f>
        <v>10116</v>
      </c>
      <c r="I69" s="31">
        <f>SUM(I63:I68)</f>
        <v>1351776.0846380261</v>
      </c>
    </row>
  </sheetData>
  <conditionalFormatting sqref="C21:C26">
    <cfRule type="containsBlanks" dxfId="96" priority="8">
      <formula>LEN(TRIM(C21))=0</formula>
    </cfRule>
  </conditionalFormatting>
  <conditionalFormatting sqref="C16:E1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{C8246AF8-4E27-4AEF-A05A-8BACF900D6B2}</x14:id>
        </ext>
      </extLst>
    </cfRule>
  </conditionalFormatting>
  <conditionalFormatting sqref="E17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{1CDE3390-45AC-465E-8C1B-0037DDE5F097}</x14:id>
        </ext>
      </extLst>
    </cfRule>
  </conditionalFormatting>
  <conditionalFormatting sqref="C18:E1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{260E958B-6E1B-4362-BD70-9FFF5D47A81E}</x14:id>
        </ext>
      </extLst>
    </cfRule>
  </conditionalFormatting>
  <conditionalFormatting sqref="B2:B7">
    <cfRule type="containsBlanks" dxfId="95" priority="2">
      <formula>LEN(TRIM(B2))=0</formula>
    </cfRule>
  </conditionalFormatting>
  <conditionalFormatting sqref="B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{49E82D4F-B488-4553-80CC-1B6640837BC7}</x14:id>
        </ext>
      </extLst>
    </cfRule>
  </conditionalFormatting>
  <pageMargins left="0.7" right="0.7" top="0.75" bottom="0.75" header="0.3" footer="0.3"/>
  <pageSetup paperSize="9" orientation="portrait" r:id="rId1"/>
  <ignoredErrors>
    <ignoredError sqref="G27:H27 G45:H45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246AF8-4E27-4AEF-A05A-8BACF900D6B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C16:E16</xm:sqref>
        </x14:conditionalFormatting>
        <x14:conditionalFormatting xmlns:xm="http://schemas.microsoft.com/office/excel/2006/main">
          <x14:cfRule type="dataBar" id="{1CDE3390-45AC-465E-8C1B-0037DDE5F09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</xm:sqref>
        </x14:conditionalFormatting>
        <x14:conditionalFormatting xmlns:xm="http://schemas.microsoft.com/office/excel/2006/main">
          <x14:cfRule type="dataBar" id="{260E958B-6E1B-4362-BD70-9FFF5D47A8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C18:E18</xm:sqref>
        </x14:conditionalFormatting>
        <x14:conditionalFormatting xmlns:xm="http://schemas.microsoft.com/office/excel/2006/main">
          <x14:cfRule type="dataBar" id="{49E82D4F-B488-4553-80CC-1B6640837B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F650-1FD4-4F7F-84C1-B815E5CC3905}">
  <dimension ref="B2:D3"/>
  <sheetViews>
    <sheetView workbookViewId="0">
      <selection activeCell="H17" sqref="H17"/>
    </sheetView>
  </sheetViews>
  <sheetFormatPr defaultRowHeight="14.5" x14ac:dyDescent="0.35"/>
  <cols>
    <col min="1" max="1" width="4.7265625" customWidth="1"/>
  </cols>
  <sheetData>
    <row r="2" spans="2:4" x14ac:dyDescent="0.35">
      <c r="B2" s="56">
        <v>2024</v>
      </c>
      <c r="C2" s="56">
        <v>2025</v>
      </c>
      <c r="D2" s="56">
        <v>2026</v>
      </c>
    </row>
    <row r="3" spans="2:4" x14ac:dyDescent="0.35">
      <c r="B3" s="57">
        <v>0.02</v>
      </c>
      <c r="C3" s="57">
        <v>0.02</v>
      </c>
      <c r="D3" s="57">
        <v>0.02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AAB90-1839-4C70-A452-BFB34155FE02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377F6-1E46-45FE-8B54-E716D314768E}">
  <dimension ref="B1:H33"/>
  <sheetViews>
    <sheetView topLeftCell="A13" workbookViewId="0">
      <selection activeCell="C29" sqref="C29"/>
    </sheetView>
  </sheetViews>
  <sheetFormatPr defaultRowHeight="14.5" x14ac:dyDescent="0.35"/>
  <cols>
    <col min="1" max="1" width="5" customWidth="1"/>
    <col min="2" max="2" width="34.26953125" customWidth="1"/>
    <col min="3" max="3" width="10.26953125" customWidth="1"/>
    <col min="4" max="4" width="16.453125" bestFit="1" customWidth="1"/>
    <col min="5" max="5" width="10.26953125" customWidth="1"/>
    <col min="6" max="6" width="15.26953125" bestFit="1" customWidth="1"/>
    <col min="7" max="7" width="10.26953125" customWidth="1"/>
    <col min="8" max="8" width="14.26953125" customWidth="1"/>
  </cols>
  <sheetData>
    <row r="1" spans="2:8" x14ac:dyDescent="0.35">
      <c r="B1" s="38" t="s">
        <v>44</v>
      </c>
      <c r="C1" s="39" t="s">
        <v>45</v>
      </c>
      <c r="D1" s="39" t="s">
        <v>46</v>
      </c>
      <c r="E1" s="39" t="s">
        <v>47</v>
      </c>
      <c r="F1" s="39" t="s">
        <v>48</v>
      </c>
      <c r="G1" s="39" t="s">
        <v>49</v>
      </c>
      <c r="H1" s="39" t="s">
        <v>50</v>
      </c>
    </row>
    <row r="2" spans="2:8" x14ac:dyDescent="0.35">
      <c r="B2" s="32" t="s">
        <v>51</v>
      </c>
      <c r="C2" s="34"/>
      <c r="D2" s="34"/>
      <c r="E2" s="34"/>
      <c r="F2" s="34"/>
      <c r="G2" s="34"/>
      <c r="H2" s="33"/>
    </row>
    <row r="3" spans="2:8" x14ac:dyDescent="0.35">
      <c r="B3" s="32" t="s">
        <v>52</v>
      </c>
      <c r="C3" s="34"/>
      <c r="D3" s="34"/>
      <c r="E3" s="34"/>
      <c r="F3" s="34"/>
      <c r="G3" s="34">
        <v>-56</v>
      </c>
      <c r="H3" s="33"/>
    </row>
    <row r="4" spans="2:8" x14ac:dyDescent="0.35">
      <c r="B4" s="32" t="s">
        <v>53</v>
      </c>
      <c r="C4" s="34">
        <v>1831</v>
      </c>
      <c r="D4" s="34"/>
      <c r="E4" s="34">
        <v>270</v>
      </c>
      <c r="F4" s="34"/>
      <c r="G4" s="34">
        <v>-20</v>
      </c>
      <c r="H4" s="33"/>
    </row>
    <row r="5" spans="2:8" x14ac:dyDescent="0.35">
      <c r="B5" s="32" t="s">
        <v>54</v>
      </c>
      <c r="C5" s="34">
        <v>539</v>
      </c>
      <c r="D5" s="34"/>
      <c r="E5" s="34">
        <v>2198</v>
      </c>
      <c r="F5" s="34"/>
      <c r="G5" s="34">
        <v>700</v>
      </c>
      <c r="H5" s="33"/>
    </row>
    <row r="6" spans="2:8" x14ac:dyDescent="0.35">
      <c r="B6" s="32" t="s">
        <v>55</v>
      </c>
      <c r="C6" s="34">
        <v>525</v>
      </c>
      <c r="D6" s="34"/>
      <c r="E6" s="34"/>
      <c r="F6" s="34"/>
      <c r="G6" s="34"/>
      <c r="H6" s="33"/>
    </row>
    <row r="7" spans="2:8" x14ac:dyDescent="0.35">
      <c r="B7" s="32" t="s">
        <v>56</v>
      </c>
      <c r="C7" s="34"/>
      <c r="D7" s="34"/>
      <c r="E7" s="34"/>
      <c r="F7" s="34"/>
      <c r="G7" s="34">
        <v>-42</v>
      </c>
      <c r="H7" s="33"/>
    </row>
    <row r="8" spans="2:8" x14ac:dyDescent="0.35">
      <c r="B8" s="32" t="s">
        <v>57</v>
      </c>
      <c r="C8" s="34">
        <v>415</v>
      </c>
      <c r="D8" s="34"/>
      <c r="E8" s="34">
        <v>378</v>
      </c>
      <c r="F8" s="34"/>
      <c r="G8" s="34">
        <v>-28</v>
      </c>
      <c r="H8" s="33"/>
    </row>
    <row r="9" spans="2:8" x14ac:dyDescent="0.35">
      <c r="B9" s="32" t="s">
        <v>58</v>
      </c>
      <c r="C9" s="34">
        <v>7048</v>
      </c>
      <c r="D9" s="34"/>
      <c r="E9" s="34">
        <v>49</v>
      </c>
      <c r="F9" s="34"/>
      <c r="G9" s="34"/>
      <c r="H9" s="33"/>
    </row>
    <row r="10" spans="2:8" x14ac:dyDescent="0.35">
      <c r="B10" s="32" t="s">
        <v>59</v>
      </c>
      <c r="C10" s="34"/>
      <c r="D10" s="34"/>
      <c r="E10" s="34"/>
      <c r="F10" s="34"/>
      <c r="G10" s="34"/>
      <c r="H10" s="33"/>
    </row>
    <row r="11" spans="2:8" x14ac:dyDescent="0.35">
      <c r="B11" s="32" t="s">
        <v>60</v>
      </c>
      <c r="C11" s="34">
        <v>4235</v>
      </c>
      <c r="D11" s="34"/>
      <c r="E11" s="34">
        <v>443.92227333332994</v>
      </c>
      <c r="F11" s="34"/>
      <c r="G11" s="34">
        <v>546</v>
      </c>
      <c r="H11" s="33"/>
    </row>
    <row r="12" spans="2:8" x14ac:dyDescent="0.35">
      <c r="B12" s="79" t="s">
        <v>61</v>
      </c>
      <c r="C12" s="33"/>
      <c r="D12" s="33"/>
      <c r="E12" s="33"/>
      <c r="F12" s="33"/>
      <c r="G12" s="33"/>
      <c r="H12" s="33"/>
    </row>
    <row r="13" spans="2:8" x14ac:dyDescent="0.35">
      <c r="B13" s="35" t="s">
        <v>62</v>
      </c>
      <c r="C13" s="36">
        <f>SUBTOTAL(109,C2:C12)</f>
        <v>14593</v>
      </c>
      <c r="D13" s="36"/>
      <c r="E13" s="36">
        <f>SUBTOTAL(109,E2:E12)</f>
        <v>3338.9222733333299</v>
      </c>
      <c r="F13" s="36"/>
      <c r="G13" s="36">
        <f>SUBTOTAL(109,G2:G12)</f>
        <v>1100</v>
      </c>
      <c r="H13" s="37"/>
    </row>
    <row r="15" spans="2:8" x14ac:dyDescent="0.35">
      <c r="B15" s="54"/>
    </row>
    <row r="16" spans="2:8" x14ac:dyDescent="0.35">
      <c r="B16" s="88" t="s">
        <v>63</v>
      </c>
    </row>
    <row r="17" spans="2:6" x14ac:dyDescent="0.35">
      <c r="B17" s="54"/>
      <c r="C17" s="54"/>
      <c r="D17" s="54"/>
      <c r="E17" s="53"/>
      <c r="F17" s="54"/>
    </row>
    <row r="19" spans="2:6" ht="18.5" x14ac:dyDescent="0.45">
      <c r="B19" s="106"/>
    </row>
    <row r="20" spans="2:6" ht="6" customHeight="1" x14ac:dyDescent="0.45">
      <c r="B20" s="106"/>
    </row>
    <row r="21" spans="2:6" ht="26" x14ac:dyDescent="0.35">
      <c r="B21" s="104" t="s">
        <v>64</v>
      </c>
      <c r="C21" s="105" t="s">
        <v>65</v>
      </c>
      <c r="D21" s="104">
        <v>2024</v>
      </c>
      <c r="E21" s="104">
        <v>2025</v>
      </c>
      <c r="F21" s="95">
        <v>2026</v>
      </c>
    </row>
    <row r="22" spans="2:6" x14ac:dyDescent="0.35">
      <c r="B22" s="103" t="s">
        <v>66</v>
      </c>
      <c r="C22" s="98">
        <v>2</v>
      </c>
      <c r="D22" s="96">
        <v>0.05</v>
      </c>
      <c r="E22" s="96"/>
      <c r="F22" s="96"/>
    </row>
    <row r="23" spans="2:6" x14ac:dyDescent="0.35">
      <c r="B23" s="103" t="s">
        <v>67</v>
      </c>
      <c r="C23" s="98">
        <v>3</v>
      </c>
      <c r="D23" s="96">
        <v>3</v>
      </c>
      <c r="E23" s="96">
        <v>1</v>
      </c>
      <c r="F23" s="96"/>
    </row>
    <row r="24" spans="2:6" x14ac:dyDescent="0.35">
      <c r="B24" s="103" t="s">
        <v>68</v>
      </c>
      <c r="C24" s="98">
        <v>3</v>
      </c>
      <c r="D24" s="96">
        <v>15</v>
      </c>
      <c r="E24" s="96">
        <v>7</v>
      </c>
      <c r="F24" s="96"/>
    </row>
    <row r="25" spans="2:6" x14ac:dyDescent="0.35">
      <c r="B25" s="103" t="s">
        <v>69</v>
      </c>
      <c r="C25" s="98">
        <v>1</v>
      </c>
      <c r="D25" s="96">
        <v>7</v>
      </c>
      <c r="E25" s="96">
        <v>6</v>
      </c>
      <c r="F25" s="96">
        <v>5</v>
      </c>
    </row>
    <row r="26" spans="2:6" ht="29" x14ac:dyDescent="0.35">
      <c r="B26" s="103" t="s">
        <v>70</v>
      </c>
      <c r="C26" s="98">
        <v>1</v>
      </c>
      <c r="D26" s="96">
        <v>2.9</v>
      </c>
      <c r="E26" s="96"/>
      <c r="F26" s="96"/>
    </row>
    <row r="27" spans="2:6" x14ac:dyDescent="0.35">
      <c r="B27" s="103" t="s">
        <v>71</v>
      </c>
      <c r="C27" s="98">
        <v>1</v>
      </c>
      <c r="D27" s="97"/>
      <c r="E27" s="99"/>
      <c r="F27" s="99"/>
    </row>
    <row r="28" spans="2:6" x14ac:dyDescent="0.35">
      <c r="B28" s="103" t="s">
        <v>72</v>
      </c>
      <c r="C28" s="98">
        <v>1</v>
      </c>
      <c r="D28" s="97">
        <v>21</v>
      </c>
      <c r="E28" s="99"/>
      <c r="F28" s="99"/>
    </row>
    <row r="29" spans="2:6" x14ac:dyDescent="0.35">
      <c r="B29" s="103" t="s">
        <v>73</v>
      </c>
      <c r="C29" s="98">
        <v>3</v>
      </c>
      <c r="D29" s="96">
        <v>2</v>
      </c>
      <c r="E29" s="96"/>
      <c r="F29" s="96"/>
    </row>
    <row r="30" spans="2:6" ht="43.5" x14ac:dyDescent="0.35">
      <c r="B30" s="103" t="s">
        <v>74</v>
      </c>
      <c r="C30" s="98">
        <v>2</v>
      </c>
      <c r="D30" s="96">
        <v>0.2</v>
      </c>
      <c r="E30" s="96"/>
      <c r="F30" s="96"/>
    </row>
    <row r="31" spans="2:6" x14ac:dyDescent="0.35">
      <c r="B31" s="103" t="s">
        <v>75</v>
      </c>
      <c r="C31" s="98">
        <v>2</v>
      </c>
      <c r="D31" s="96">
        <v>0.5</v>
      </c>
      <c r="E31" s="96"/>
      <c r="F31" s="96"/>
    </row>
    <row r="32" spans="2:6" x14ac:dyDescent="0.35">
      <c r="B32" s="103" t="s">
        <v>76</v>
      </c>
      <c r="C32" s="98">
        <v>2</v>
      </c>
      <c r="D32" s="96">
        <v>0.5</v>
      </c>
      <c r="E32" s="96"/>
      <c r="F32" s="96"/>
    </row>
    <row r="33" spans="2:6" x14ac:dyDescent="0.35">
      <c r="B33" s="100" t="s">
        <v>77</v>
      </c>
      <c r="C33" s="101"/>
      <c r="D33" s="102">
        <f>SUM(D22:D32)</f>
        <v>52.150000000000006</v>
      </c>
      <c r="E33" s="102">
        <f>SUM(E22:E32)</f>
        <v>14</v>
      </c>
      <c r="F33" s="102">
        <f>SUM(F22:F32)</f>
        <v>5</v>
      </c>
    </row>
  </sheetData>
  <phoneticPr fontId="9" type="noConversion"/>
  <pageMargins left="0.7" right="0.7" top="0.75" bottom="0.75" header="0.3" footer="0.3"/>
  <pageSetup paperSize="9" orientation="portrait" r:id="rId1"/>
  <ignoredErrors>
    <ignoredError sqref="D33:F33" formulaRange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F76C-B6E5-4427-AAD4-C63528514FD6}">
  <dimension ref="A1:E113"/>
  <sheetViews>
    <sheetView zoomScaleNormal="100" workbookViewId="0">
      <selection activeCell="D99" sqref="D99"/>
    </sheetView>
  </sheetViews>
  <sheetFormatPr defaultRowHeight="14.5" x14ac:dyDescent="0.35"/>
  <cols>
    <col min="1" max="1" width="25.54296875" bestFit="1" customWidth="1"/>
    <col min="2" max="2" width="25.453125" bestFit="1" customWidth="1"/>
    <col min="3" max="3" width="10.7265625" customWidth="1"/>
    <col min="4" max="4" width="78.26953125" bestFit="1" customWidth="1"/>
    <col min="5" max="5" width="6" customWidth="1"/>
  </cols>
  <sheetData>
    <row r="1" spans="1:5" ht="18.5" x14ac:dyDescent="0.45">
      <c r="B1" s="110" t="s">
        <v>2</v>
      </c>
      <c r="C1" s="110"/>
      <c r="D1" s="110"/>
    </row>
    <row r="2" spans="1:5" x14ac:dyDescent="0.35">
      <c r="A2" s="24" t="s">
        <v>44</v>
      </c>
      <c r="B2" s="25" t="s">
        <v>78</v>
      </c>
      <c r="C2" s="25" t="s">
        <v>79</v>
      </c>
      <c r="D2" s="26" t="s">
        <v>80</v>
      </c>
      <c r="E2" s="20"/>
    </row>
    <row r="3" spans="1:5" hidden="1" x14ac:dyDescent="0.35">
      <c r="A3" s="23" t="s">
        <v>60</v>
      </c>
      <c r="B3" s="5" t="s">
        <v>6</v>
      </c>
      <c r="C3" s="5">
        <f>-(3500+1000)</f>
        <v>-4500</v>
      </c>
      <c r="D3" s="21" t="s">
        <v>81</v>
      </c>
    </row>
    <row r="4" spans="1:5" hidden="1" x14ac:dyDescent="0.35">
      <c r="A4" s="23" t="s">
        <v>60</v>
      </c>
      <c r="B4" s="5" t="s">
        <v>7</v>
      </c>
      <c r="C4" s="5">
        <f>-(1500+1000+400+1400)</f>
        <v>-4300</v>
      </c>
      <c r="D4" s="21" t="s">
        <v>82</v>
      </c>
    </row>
    <row r="5" spans="1:5" hidden="1" x14ac:dyDescent="0.35">
      <c r="A5" s="23" t="s">
        <v>60</v>
      </c>
      <c r="B5" s="5" t="s">
        <v>8</v>
      </c>
      <c r="C5" s="5">
        <f>-(7000+2000)</f>
        <v>-9000</v>
      </c>
      <c r="D5" s="21" t="s">
        <v>83</v>
      </c>
    </row>
    <row r="6" spans="1:5" hidden="1" x14ac:dyDescent="0.35">
      <c r="A6" s="23" t="s">
        <v>60</v>
      </c>
      <c r="B6" s="5" t="s">
        <v>9</v>
      </c>
      <c r="C6" s="5">
        <v>-24300</v>
      </c>
      <c r="D6" s="21" t="s">
        <v>84</v>
      </c>
    </row>
    <row r="7" spans="1:5" hidden="1" x14ac:dyDescent="0.35">
      <c r="A7" s="23" t="s">
        <v>60</v>
      </c>
      <c r="B7" s="5" t="s">
        <v>16</v>
      </c>
      <c r="C7" s="5">
        <v>-1000</v>
      </c>
      <c r="D7" s="21" t="s">
        <v>85</v>
      </c>
    </row>
    <row r="8" spans="1:5" x14ac:dyDescent="0.35">
      <c r="A8" s="23" t="s">
        <v>53</v>
      </c>
      <c r="B8" s="5" t="s">
        <v>16</v>
      </c>
      <c r="C8" s="50">
        <f>-1737.969-12</f>
        <v>-1749.9690000000001</v>
      </c>
      <c r="D8" s="21" t="s">
        <v>86</v>
      </c>
    </row>
    <row r="9" spans="1:5" x14ac:dyDescent="0.35">
      <c r="A9" s="23" t="s">
        <v>53</v>
      </c>
      <c r="B9" s="5" t="s">
        <v>15</v>
      </c>
      <c r="C9" s="50">
        <f>-1248-58.4</f>
        <v>-1306.4000000000001</v>
      </c>
      <c r="D9" s="21" t="s">
        <v>87</v>
      </c>
    </row>
    <row r="10" spans="1:5" x14ac:dyDescent="0.35">
      <c r="A10" s="23" t="s">
        <v>53</v>
      </c>
      <c r="B10" s="5" t="s">
        <v>16</v>
      </c>
      <c r="C10" s="50">
        <v>-623.39800000000002</v>
      </c>
      <c r="D10" s="21" t="s">
        <v>87</v>
      </c>
    </row>
    <row r="11" spans="1:5" x14ac:dyDescent="0.35">
      <c r="A11" s="23" t="s">
        <v>53</v>
      </c>
      <c r="B11" s="5" t="s">
        <v>15</v>
      </c>
      <c r="C11" s="50">
        <f>-600+130</f>
        <v>-470</v>
      </c>
      <c r="D11" s="21" t="s">
        <v>88</v>
      </c>
    </row>
    <row r="12" spans="1:5" x14ac:dyDescent="0.35">
      <c r="A12" s="23" t="s">
        <v>53</v>
      </c>
      <c r="B12" s="44" t="s">
        <v>15</v>
      </c>
      <c r="C12" s="50">
        <v>-240</v>
      </c>
      <c r="D12" s="21" t="s">
        <v>89</v>
      </c>
    </row>
    <row r="13" spans="1:5" x14ac:dyDescent="0.35">
      <c r="A13" s="23" t="s">
        <v>53</v>
      </c>
      <c r="B13" s="44" t="s">
        <v>15</v>
      </c>
      <c r="C13" s="50">
        <v>-1600</v>
      </c>
      <c r="D13" s="21" t="s">
        <v>90</v>
      </c>
    </row>
    <row r="14" spans="1:5" x14ac:dyDescent="0.35">
      <c r="A14" s="23" t="s">
        <v>53</v>
      </c>
      <c r="B14" s="5" t="s">
        <v>15</v>
      </c>
      <c r="C14" s="74">
        <v>-600</v>
      </c>
      <c r="D14" s="21" t="s">
        <v>91</v>
      </c>
    </row>
    <row r="15" spans="1:5" x14ac:dyDescent="0.35">
      <c r="A15" s="23" t="s">
        <v>53</v>
      </c>
      <c r="B15" s="5" t="s">
        <v>15</v>
      </c>
      <c r="C15" s="74">
        <v>-2400</v>
      </c>
      <c r="D15" s="21" t="s">
        <v>92</v>
      </c>
    </row>
    <row r="16" spans="1:5" x14ac:dyDescent="0.35">
      <c r="A16" s="23" t="s">
        <v>53</v>
      </c>
      <c r="B16" s="5" t="s">
        <v>15</v>
      </c>
      <c r="C16" s="50">
        <v>-600</v>
      </c>
      <c r="D16" s="21" t="s">
        <v>93</v>
      </c>
    </row>
    <row r="17" spans="1:4" x14ac:dyDescent="0.35">
      <c r="A17" s="23" t="s">
        <v>53</v>
      </c>
      <c r="B17" s="5" t="s">
        <v>15</v>
      </c>
      <c r="C17" s="50">
        <v>-984</v>
      </c>
      <c r="D17" s="21" t="s">
        <v>86</v>
      </c>
    </row>
    <row r="18" spans="1:4" hidden="1" x14ac:dyDescent="0.35">
      <c r="A18" s="23" t="s">
        <v>55</v>
      </c>
      <c r="B18" s="5" t="s">
        <v>15</v>
      </c>
      <c r="C18" s="5">
        <v>-100</v>
      </c>
      <c r="D18" s="21" t="s">
        <v>94</v>
      </c>
    </row>
    <row r="19" spans="1:4" x14ac:dyDescent="0.35">
      <c r="A19" s="23" t="s">
        <v>53</v>
      </c>
      <c r="B19" s="5" t="s">
        <v>15</v>
      </c>
      <c r="C19" s="50">
        <v>-400</v>
      </c>
      <c r="D19" s="86" t="s">
        <v>95</v>
      </c>
    </row>
    <row r="20" spans="1:4" x14ac:dyDescent="0.35">
      <c r="A20" s="23" t="s">
        <v>53</v>
      </c>
      <c r="B20" s="50" t="s">
        <v>15</v>
      </c>
      <c r="C20" s="50">
        <v>-1800</v>
      </c>
      <c r="D20" s="85" t="s">
        <v>96</v>
      </c>
    </row>
    <row r="21" spans="1:4" x14ac:dyDescent="0.35">
      <c r="A21" s="23" t="s">
        <v>53</v>
      </c>
      <c r="B21" s="50" t="s">
        <v>15</v>
      </c>
      <c r="C21" s="50">
        <v>-1800</v>
      </c>
      <c r="D21" s="85" t="s">
        <v>97</v>
      </c>
    </row>
    <row r="22" spans="1:4" x14ac:dyDescent="0.35">
      <c r="A22" s="23" t="s">
        <v>53</v>
      </c>
      <c r="B22" s="50" t="s">
        <v>15</v>
      </c>
      <c r="C22" s="87">
        <v>-1000</v>
      </c>
      <c r="D22" s="21" t="s">
        <v>98</v>
      </c>
    </row>
    <row r="23" spans="1:4" x14ac:dyDescent="0.35">
      <c r="A23" s="23" t="s">
        <v>53</v>
      </c>
      <c r="B23" s="50" t="s">
        <v>15</v>
      </c>
      <c r="C23" s="83">
        <v>-400</v>
      </c>
      <c r="D23" s="21" t="s">
        <v>99</v>
      </c>
    </row>
    <row r="24" spans="1:4" x14ac:dyDescent="0.35">
      <c r="A24" s="23" t="s">
        <v>53</v>
      </c>
      <c r="B24" s="50" t="s">
        <v>15</v>
      </c>
      <c r="C24" s="83">
        <v>-500</v>
      </c>
      <c r="D24" s="21" t="s">
        <v>100</v>
      </c>
    </row>
    <row r="25" spans="1:4" x14ac:dyDescent="0.35">
      <c r="A25" s="23" t="s">
        <v>53</v>
      </c>
      <c r="B25" s="50" t="s">
        <v>15</v>
      </c>
      <c r="C25" s="83">
        <v>-400</v>
      </c>
      <c r="D25" s="21" t="s">
        <v>101</v>
      </c>
    </row>
    <row r="26" spans="1:4" x14ac:dyDescent="0.35">
      <c r="A26" s="23" t="s">
        <v>53</v>
      </c>
      <c r="B26" s="50" t="s">
        <v>15</v>
      </c>
      <c r="C26" s="83">
        <v>-200</v>
      </c>
      <c r="D26" s="21" t="s">
        <v>102</v>
      </c>
    </row>
    <row r="27" spans="1:4" x14ac:dyDescent="0.35">
      <c r="A27" s="23" t="s">
        <v>53</v>
      </c>
      <c r="B27" s="50" t="s">
        <v>15</v>
      </c>
      <c r="C27" s="83">
        <v>-200</v>
      </c>
      <c r="D27" s="21" t="s">
        <v>102</v>
      </c>
    </row>
    <row r="28" spans="1:4" x14ac:dyDescent="0.35">
      <c r="A28" s="23" t="s">
        <v>53</v>
      </c>
      <c r="B28" s="50" t="s">
        <v>15</v>
      </c>
      <c r="C28" s="83">
        <v>-400</v>
      </c>
      <c r="D28" s="21" t="s">
        <v>103</v>
      </c>
    </row>
    <row r="29" spans="1:4" hidden="1" x14ac:dyDescent="0.35">
      <c r="A29" s="23"/>
      <c r="B29" s="5"/>
      <c r="C29" s="73"/>
      <c r="D29" s="21"/>
    </row>
    <row r="30" spans="1:4" hidden="1" x14ac:dyDescent="0.35">
      <c r="A30" s="23"/>
      <c r="B30" s="5"/>
      <c r="C30" s="72"/>
      <c r="D30" s="21"/>
    </row>
    <row r="31" spans="1:4" hidden="1" x14ac:dyDescent="0.35">
      <c r="A31" s="23"/>
      <c r="B31" s="5"/>
      <c r="C31" s="5"/>
      <c r="D31" s="21"/>
    </row>
    <row r="32" spans="1:4" hidden="1" x14ac:dyDescent="0.35">
      <c r="A32" s="23"/>
      <c r="B32" s="5"/>
      <c r="C32" s="5"/>
      <c r="D32" s="21"/>
    </row>
    <row r="33" spans="1:4" hidden="1" x14ac:dyDescent="0.35">
      <c r="A33" s="23"/>
      <c r="B33" s="5"/>
      <c r="C33" s="5"/>
      <c r="D33" s="21"/>
    </row>
    <row r="34" spans="1:4" hidden="1" x14ac:dyDescent="0.35">
      <c r="A34" s="23"/>
      <c r="B34" s="5"/>
      <c r="C34" s="5"/>
      <c r="D34" s="21"/>
    </row>
    <row r="35" spans="1:4" hidden="1" x14ac:dyDescent="0.35">
      <c r="A35" s="23"/>
      <c r="B35" s="5"/>
      <c r="C35" s="5"/>
      <c r="D35" s="21"/>
    </row>
    <row r="36" spans="1:4" hidden="1" x14ac:dyDescent="0.35">
      <c r="A36" s="23"/>
      <c r="B36" s="15"/>
      <c r="C36" s="5"/>
      <c r="D36" s="21"/>
    </row>
    <row r="37" spans="1:4" hidden="1" x14ac:dyDescent="0.35">
      <c r="A37" s="23"/>
      <c r="B37" s="15"/>
      <c r="C37" s="5"/>
      <c r="D37" s="21"/>
    </row>
    <row r="38" spans="1:4" hidden="1" x14ac:dyDescent="0.35">
      <c r="A38" s="23"/>
      <c r="B38" s="5"/>
      <c r="C38" s="5"/>
      <c r="D38" s="21"/>
    </row>
    <row r="39" spans="1:4" hidden="1" x14ac:dyDescent="0.35">
      <c r="A39" s="23"/>
      <c r="B39" s="5"/>
      <c r="C39" s="5"/>
      <c r="D39" s="21"/>
    </row>
    <row r="40" spans="1:4" hidden="1" x14ac:dyDescent="0.35">
      <c r="A40" s="23"/>
      <c r="B40" s="5"/>
      <c r="C40" s="5"/>
      <c r="D40" s="21"/>
    </row>
    <row r="41" spans="1:4" hidden="1" x14ac:dyDescent="0.35">
      <c r="A41" s="23"/>
      <c r="B41" s="5"/>
      <c r="C41" s="5"/>
      <c r="D41" s="21"/>
    </row>
    <row r="42" spans="1:4" hidden="1" x14ac:dyDescent="0.35">
      <c r="A42" s="23"/>
      <c r="B42" s="5"/>
      <c r="C42" s="5"/>
      <c r="D42" s="21"/>
    </row>
    <row r="43" spans="1:4" hidden="1" x14ac:dyDescent="0.35">
      <c r="A43" s="23"/>
      <c r="B43" s="5"/>
      <c r="C43" s="5"/>
      <c r="D43" s="21"/>
    </row>
    <row r="44" spans="1:4" hidden="1" x14ac:dyDescent="0.35">
      <c r="A44" s="23"/>
      <c r="B44" s="5"/>
      <c r="C44" s="5"/>
      <c r="D44" s="21"/>
    </row>
    <row r="45" spans="1:4" hidden="1" x14ac:dyDescent="0.35">
      <c r="A45" s="23"/>
      <c r="B45" s="5"/>
      <c r="C45" s="5"/>
      <c r="D45" s="21"/>
    </row>
    <row r="46" spans="1:4" hidden="1" x14ac:dyDescent="0.35">
      <c r="A46" s="23"/>
      <c r="B46" s="5"/>
      <c r="C46" s="5"/>
      <c r="D46" s="21"/>
    </row>
    <row r="47" spans="1:4" hidden="1" x14ac:dyDescent="0.35">
      <c r="A47" s="23"/>
      <c r="B47" s="5"/>
      <c r="C47" s="5"/>
      <c r="D47" s="21"/>
    </row>
    <row r="48" spans="1:4" hidden="1" x14ac:dyDescent="0.35">
      <c r="A48" s="23"/>
      <c r="B48" s="15"/>
      <c r="C48" s="5"/>
      <c r="D48" s="21"/>
    </row>
    <row r="49" spans="1:4" hidden="1" x14ac:dyDescent="0.35">
      <c r="A49" s="23"/>
      <c r="B49" s="15"/>
      <c r="C49" s="5"/>
      <c r="D49" s="21"/>
    </row>
    <row r="50" spans="1:4" hidden="1" x14ac:dyDescent="0.35">
      <c r="A50" s="23"/>
      <c r="B50" s="5"/>
      <c r="C50" s="5"/>
      <c r="D50" s="21"/>
    </row>
    <row r="51" spans="1:4" hidden="1" x14ac:dyDescent="0.35">
      <c r="A51" s="23"/>
      <c r="B51" s="5"/>
      <c r="C51" s="5"/>
      <c r="D51" s="21"/>
    </row>
    <row r="52" spans="1:4" hidden="1" x14ac:dyDescent="0.35">
      <c r="A52" s="23"/>
      <c r="B52" s="5"/>
      <c r="C52" s="5"/>
      <c r="D52" s="21"/>
    </row>
    <row r="53" spans="1:4" hidden="1" x14ac:dyDescent="0.35">
      <c r="A53" s="23"/>
      <c r="B53" s="5"/>
      <c r="C53" s="5"/>
      <c r="D53" s="21"/>
    </row>
    <row r="54" spans="1:4" hidden="1" x14ac:dyDescent="0.35">
      <c r="A54" s="23"/>
      <c r="B54" s="5"/>
      <c r="C54" s="5"/>
      <c r="D54" s="21"/>
    </row>
    <row r="55" spans="1:4" hidden="1" x14ac:dyDescent="0.35">
      <c r="A55" s="23"/>
      <c r="B55" s="5"/>
      <c r="C55" s="5"/>
      <c r="D55" s="21"/>
    </row>
    <row r="56" spans="1:4" hidden="1" x14ac:dyDescent="0.35">
      <c r="A56" s="23"/>
      <c r="B56" s="5"/>
      <c r="C56" s="5"/>
      <c r="D56" s="21"/>
    </row>
    <row r="57" spans="1:4" hidden="1" x14ac:dyDescent="0.35">
      <c r="A57" s="23"/>
      <c r="B57" s="5"/>
      <c r="C57" s="5"/>
      <c r="D57" s="21"/>
    </row>
    <row r="58" spans="1:4" hidden="1" x14ac:dyDescent="0.35">
      <c r="A58" s="23"/>
      <c r="B58" s="5"/>
      <c r="C58" s="5"/>
      <c r="D58" s="21"/>
    </row>
    <row r="59" spans="1:4" hidden="1" x14ac:dyDescent="0.35">
      <c r="A59" s="23"/>
      <c r="B59" s="5"/>
      <c r="C59" s="5"/>
      <c r="D59" s="21"/>
    </row>
    <row r="60" spans="1:4" hidden="1" x14ac:dyDescent="0.35">
      <c r="A60" s="23"/>
      <c r="B60" s="15"/>
      <c r="C60" s="5"/>
      <c r="D60" s="21"/>
    </row>
    <row r="61" spans="1:4" hidden="1" x14ac:dyDescent="0.35">
      <c r="A61" s="23"/>
      <c r="B61" s="15"/>
      <c r="C61" s="5"/>
      <c r="D61" s="21"/>
    </row>
    <row r="62" spans="1:4" hidden="1" x14ac:dyDescent="0.35">
      <c r="A62" s="23"/>
      <c r="B62" s="5"/>
      <c r="C62" s="5"/>
      <c r="D62" s="21"/>
    </row>
    <row r="63" spans="1:4" hidden="1" x14ac:dyDescent="0.35">
      <c r="A63" s="23"/>
      <c r="B63" s="5"/>
      <c r="C63" s="5"/>
      <c r="D63" s="21"/>
    </row>
    <row r="64" spans="1:4" hidden="1" x14ac:dyDescent="0.35">
      <c r="A64" s="23"/>
      <c r="B64" s="5"/>
      <c r="C64" s="5"/>
      <c r="D64" s="21"/>
    </row>
    <row r="65" spans="1:4" hidden="1" x14ac:dyDescent="0.35">
      <c r="A65" s="23"/>
      <c r="B65" s="5"/>
      <c r="C65" s="5"/>
      <c r="D65" s="21"/>
    </row>
    <row r="66" spans="1:4" hidden="1" x14ac:dyDescent="0.35">
      <c r="A66" s="23"/>
      <c r="B66" s="5"/>
      <c r="C66" s="5"/>
      <c r="D66" s="21"/>
    </row>
    <row r="67" spans="1:4" hidden="1" x14ac:dyDescent="0.35">
      <c r="A67" s="23"/>
      <c r="B67" s="5"/>
      <c r="C67" s="5"/>
      <c r="D67" s="21"/>
    </row>
    <row r="68" spans="1:4" hidden="1" x14ac:dyDescent="0.35">
      <c r="A68" s="23"/>
      <c r="B68" s="5"/>
      <c r="C68" s="5"/>
      <c r="D68" s="21"/>
    </row>
    <row r="69" spans="1:4" hidden="1" x14ac:dyDescent="0.35">
      <c r="A69" s="23"/>
      <c r="B69" s="5"/>
      <c r="C69" s="5"/>
      <c r="D69" s="21"/>
    </row>
    <row r="70" spans="1:4" hidden="1" x14ac:dyDescent="0.35">
      <c r="A70" s="23"/>
      <c r="B70" s="5"/>
      <c r="C70" s="5"/>
      <c r="D70" s="21"/>
    </row>
    <row r="71" spans="1:4" hidden="1" x14ac:dyDescent="0.35">
      <c r="A71" s="23"/>
      <c r="B71" s="5"/>
      <c r="C71" s="5"/>
      <c r="D71" s="21"/>
    </row>
    <row r="72" spans="1:4" hidden="1" x14ac:dyDescent="0.35">
      <c r="A72" s="23"/>
      <c r="B72" s="15"/>
      <c r="C72" s="5"/>
      <c r="D72" s="21"/>
    </row>
    <row r="73" spans="1:4" hidden="1" x14ac:dyDescent="0.35">
      <c r="A73" s="23"/>
      <c r="B73" s="15"/>
      <c r="C73" s="5"/>
      <c r="D73" s="21"/>
    </row>
    <row r="74" spans="1:4" hidden="1" x14ac:dyDescent="0.35">
      <c r="A74" s="23"/>
      <c r="B74" s="5"/>
      <c r="C74" s="5"/>
      <c r="D74" s="21"/>
    </row>
    <row r="75" spans="1:4" hidden="1" x14ac:dyDescent="0.35">
      <c r="A75" s="23"/>
      <c r="B75" s="5"/>
      <c r="C75" s="5"/>
      <c r="D75" s="21"/>
    </row>
    <row r="76" spans="1:4" hidden="1" x14ac:dyDescent="0.35">
      <c r="A76" s="23"/>
      <c r="B76" s="5"/>
      <c r="C76" s="5"/>
      <c r="D76" s="21"/>
    </row>
    <row r="77" spans="1:4" hidden="1" x14ac:dyDescent="0.35">
      <c r="A77" s="23"/>
      <c r="B77" s="5"/>
      <c r="C77" s="5"/>
      <c r="D77" s="21"/>
    </row>
    <row r="78" spans="1:4" hidden="1" x14ac:dyDescent="0.35">
      <c r="A78" s="23"/>
      <c r="B78" s="5"/>
      <c r="C78" s="5"/>
      <c r="D78" s="21"/>
    </row>
    <row r="79" spans="1:4" hidden="1" x14ac:dyDescent="0.35">
      <c r="A79" s="23"/>
      <c r="B79" s="5"/>
      <c r="C79" s="5"/>
      <c r="D79" s="21"/>
    </row>
    <row r="80" spans="1:4" hidden="1" x14ac:dyDescent="0.35">
      <c r="A80" s="23"/>
      <c r="B80" s="5"/>
      <c r="C80" s="5"/>
      <c r="D80" s="21"/>
    </row>
    <row r="81" spans="1:4" hidden="1" x14ac:dyDescent="0.35">
      <c r="A81" s="23"/>
      <c r="B81" s="5"/>
      <c r="C81" s="5"/>
      <c r="D81" s="21"/>
    </row>
    <row r="82" spans="1:4" hidden="1" x14ac:dyDescent="0.35">
      <c r="A82" s="23"/>
      <c r="B82" s="5"/>
      <c r="C82" s="5"/>
      <c r="D82" s="21"/>
    </row>
    <row r="83" spans="1:4" hidden="1" x14ac:dyDescent="0.35">
      <c r="A83" s="23"/>
      <c r="B83" s="5"/>
      <c r="C83" s="5"/>
      <c r="D83" s="21"/>
    </row>
    <row r="84" spans="1:4" hidden="1" x14ac:dyDescent="0.35">
      <c r="A84" s="23"/>
      <c r="B84" s="15"/>
      <c r="C84" s="5"/>
      <c r="D84" s="21"/>
    </row>
    <row r="85" spans="1:4" hidden="1" x14ac:dyDescent="0.35">
      <c r="A85" s="23"/>
      <c r="B85" s="15"/>
      <c r="C85" s="5"/>
      <c r="D85" s="21"/>
    </row>
    <row r="86" spans="1:4" hidden="1" x14ac:dyDescent="0.35">
      <c r="A86" s="23"/>
      <c r="B86" s="5"/>
      <c r="C86" s="5"/>
      <c r="D86" s="21"/>
    </row>
    <row r="87" spans="1:4" hidden="1" x14ac:dyDescent="0.35">
      <c r="A87" s="23"/>
      <c r="B87" s="5"/>
      <c r="C87" s="5"/>
      <c r="D87" s="21"/>
    </row>
    <row r="88" spans="1:4" hidden="1" x14ac:dyDescent="0.35">
      <c r="A88" s="23"/>
      <c r="B88" s="5"/>
      <c r="C88" s="5"/>
      <c r="D88" s="21"/>
    </row>
    <row r="89" spans="1:4" hidden="1" x14ac:dyDescent="0.35">
      <c r="A89" s="23"/>
      <c r="B89" s="5"/>
      <c r="C89" s="5"/>
      <c r="D89" s="21"/>
    </row>
    <row r="90" spans="1:4" hidden="1" x14ac:dyDescent="0.35">
      <c r="A90" s="23"/>
      <c r="B90" s="5"/>
      <c r="C90" s="5"/>
      <c r="D90" s="21"/>
    </row>
    <row r="91" spans="1:4" hidden="1" x14ac:dyDescent="0.35">
      <c r="A91" s="23"/>
      <c r="B91" s="5"/>
      <c r="C91" s="5"/>
      <c r="D91" s="21"/>
    </row>
    <row r="92" spans="1:4" hidden="1" x14ac:dyDescent="0.35">
      <c r="A92" s="23"/>
      <c r="B92" s="5"/>
      <c r="C92" s="5"/>
      <c r="D92" s="21"/>
    </row>
    <row r="93" spans="1:4" hidden="1" x14ac:dyDescent="0.35">
      <c r="A93" s="23"/>
      <c r="B93" s="5"/>
      <c r="C93" s="5"/>
      <c r="D93" s="21"/>
    </row>
    <row r="94" spans="1:4" hidden="1" x14ac:dyDescent="0.35">
      <c r="A94" s="23"/>
      <c r="B94" s="5"/>
      <c r="C94" s="6"/>
      <c r="D94" s="22"/>
    </row>
    <row r="95" spans="1:4" hidden="1" x14ac:dyDescent="0.35">
      <c r="A95" s="23"/>
      <c r="B95" s="5"/>
      <c r="C95" s="5"/>
      <c r="D95" s="21"/>
    </row>
    <row r="96" spans="1:4" hidden="1" x14ac:dyDescent="0.35">
      <c r="A96" s="23"/>
      <c r="B96" s="15"/>
      <c r="C96" s="5"/>
      <c r="D96" s="21"/>
    </row>
    <row r="97" spans="1:4" hidden="1" x14ac:dyDescent="0.35">
      <c r="A97" s="23"/>
      <c r="B97" s="15"/>
      <c r="C97" s="5"/>
      <c r="D97" s="21"/>
    </row>
    <row r="98" spans="1:4" hidden="1" x14ac:dyDescent="0.35">
      <c r="A98" s="27"/>
      <c r="B98" s="28"/>
      <c r="C98" s="29"/>
      <c r="D98" s="30"/>
    </row>
    <row r="99" spans="1:4" x14ac:dyDescent="0.35">
      <c r="A99" s="40"/>
      <c r="B99" s="41"/>
      <c r="C99" s="42">
        <f>SUBTOTAL(109,Tabell6[Belopp (tkr)])</f>
        <v>-17673.767</v>
      </c>
      <c r="D99" s="43"/>
    </row>
    <row r="108" spans="1:4" x14ac:dyDescent="0.35">
      <c r="A108" s="18" t="s">
        <v>104</v>
      </c>
      <c r="B108" s="19" t="s">
        <v>105</v>
      </c>
    </row>
    <row r="109" spans="1:4" x14ac:dyDescent="0.35">
      <c r="A109" s="17" t="s">
        <v>60</v>
      </c>
      <c r="B109" s="17">
        <v>43.1</v>
      </c>
    </row>
    <row r="110" spans="1:4" x14ac:dyDescent="0.35">
      <c r="A110" s="17" t="s">
        <v>106</v>
      </c>
      <c r="B110" s="17">
        <v>13.8</v>
      </c>
    </row>
    <row r="111" spans="1:4" x14ac:dyDescent="0.35">
      <c r="A111" s="17" t="s">
        <v>107</v>
      </c>
      <c r="B111" s="17">
        <v>-1.9</v>
      </c>
    </row>
    <row r="112" spans="1:4" x14ac:dyDescent="0.35">
      <c r="A112" s="17" t="s">
        <v>108</v>
      </c>
      <c r="B112" s="17">
        <v>-0.3</v>
      </c>
    </row>
    <row r="113" spans="1:2" x14ac:dyDescent="0.35">
      <c r="A113" s="18" t="s">
        <v>109</v>
      </c>
      <c r="B113" s="18">
        <f>SUM(B109:B112)</f>
        <v>54.70000000000001</v>
      </c>
    </row>
  </sheetData>
  <mergeCells count="1">
    <mergeCell ref="B1:D1"/>
  </mergeCells>
  <phoneticPr fontId="9" type="noConversion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FDF070-5FE9-463E-913A-57E6CE6E91C0}">
          <x14:formula1>
            <xm:f>Tabell!$A$3:$A$18</xm:f>
          </x14:formula1>
          <xm:sqref>A3:A98</xm:sqref>
        </x14:dataValidation>
        <x14:dataValidation type="list" allowBlank="1" showInputMessage="1" showErrorMessage="1" xr:uid="{3916D5DB-542B-439E-916D-9DE48504F883}">
          <x14:formula1>
            <xm:f>Tabell!$B$2:$B$14</xm:f>
          </x14:formula1>
          <xm:sqref>B3:B98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88323-6D9A-4641-B736-23EEA4B755D6}">
  <dimension ref="A1:N100"/>
  <sheetViews>
    <sheetView zoomScaleNormal="100" workbookViewId="0">
      <selection activeCell="A17" sqref="A17"/>
    </sheetView>
  </sheetViews>
  <sheetFormatPr defaultRowHeight="14.5" x14ac:dyDescent="0.35"/>
  <cols>
    <col min="1" max="1" width="25.54296875" bestFit="1" customWidth="1"/>
    <col min="2" max="2" width="25.453125" bestFit="1" customWidth="1"/>
    <col min="3" max="3" width="13" bestFit="1" customWidth="1"/>
    <col min="4" max="4" width="76.26953125" customWidth="1"/>
    <col min="6" max="7" width="25" customWidth="1"/>
    <col min="8" max="8" width="13" bestFit="1" customWidth="1"/>
    <col min="9" max="9" width="20.26953125" bestFit="1" customWidth="1"/>
    <col min="11" max="11" width="24.7265625" customWidth="1"/>
    <col min="12" max="12" width="18.26953125" bestFit="1" customWidth="1"/>
    <col min="13" max="13" width="17.26953125" customWidth="1"/>
    <col min="14" max="14" width="12.26953125" customWidth="1"/>
  </cols>
  <sheetData>
    <row r="1" spans="1:14" ht="18.5" x14ac:dyDescent="0.45">
      <c r="B1" s="110" t="s">
        <v>2</v>
      </c>
      <c r="C1" s="110"/>
      <c r="D1" s="110"/>
      <c r="E1" t="s">
        <v>110</v>
      </c>
      <c r="G1" s="110" t="s">
        <v>3</v>
      </c>
      <c r="H1" s="110"/>
      <c r="I1" s="110"/>
      <c r="L1" s="110" t="s">
        <v>4</v>
      </c>
      <c r="M1" s="110"/>
      <c r="N1" s="110"/>
    </row>
    <row r="2" spans="1:14" x14ac:dyDescent="0.35">
      <c r="A2" s="24" t="s">
        <v>44</v>
      </c>
      <c r="B2" s="25" t="s">
        <v>78</v>
      </c>
      <c r="C2" s="25" t="s">
        <v>79</v>
      </c>
      <c r="D2" s="26" t="s">
        <v>80</v>
      </c>
      <c r="E2" s="107" t="s">
        <v>111</v>
      </c>
      <c r="F2" s="24" t="s">
        <v>44</v>
      </c>
      <c r="G2" s="25" t="s">
        <v>78</v>
      </c>
      <c r="H2" s="25" t="s">
        <v>79</v>
      </c>
      <c r="I2" s="26" t="s">
        <v>80</v>
      </c>
      <c r="J2" s="20"/>
      <c r="K2" s="24" t="s">
        <v>44</v>
      </c>
      <c r="L2" s="25" t="s">
        <v>78</v>
      </c>
      <c r="M2" s="25" t="s">
        <v>79</v>
      </c>
      <c r="N2" s="26" t="s">
        <v>80</v>
      </c>
    </row>
    <row r="3" spans="1:14" x14ac:dyDescent="0.35">
      <c r="A3" s="23" t="s">
        <v>58</v>
      </c>
      <c r="B3" s="5" t="s">
        <v>16</v>
      </c>
      <c r="C3" s="5">
        <v>1224</v>
      </c>
      <c r="D3" s="21" t="s">
        <v>112</v>
      </c>
      <c r="F3" s="23" t="s">
        <v>58</v>
      </c>
      <c r="G3" s="5" t="s">
        <v>16</v>
      </c>
      <c r="H3" s="5">
        <v>1229</v>
      </c>
      <c r="I3" s="21" t="s">
        <v>112</v>
      </c>
      <c r="K3" s="23" t="s">
        <v>58</v>
      </c>
      <c r="L3" s="5" t="s">
        <v>16</v>
      </c>
      <c r="M3" s="5">
        <v>12360</v>
      </c>
      <c r="N3" s="21" t="s">
        <v>113</v>
      </c>
    </row>
    <row r="4" spans="1:14" x14ac:dyDescent="0.35">
      <c r="A4" s="23" t="s">
        <v>58</v>
      </c>
      <c r="B4" s="5" t="s">
        <v>16</v>
      </c>
      <c r="C4" s="5">
        <f>(1.5*650*12*1.4)-4100</f>
        <v>12279.999999999998</v>
      </c>
      <c r="D4" s="21" t="s">
        <v>114</v>
      </c>
      <c r="E4" t="s">
        <v>110</v>
      </c>
      <c r="F4" s="23" t="s">
        <v>58</v>
      </c>
      <c r="G4" s="5" t="s">
        <v>16</v>
      </c>
      <c r="H4" s="5">
        <f>1500*650*12*1.4/1000</f>
        <v>16379.999999999998</v>
      </c>
      <c r="I4" s="21" t="s">
        <v>114</v>
      </c>
      <c r="K4" s="23" t="s">
        <v>60</v>
      </c>
      <c r="L4" s="5" t="s">
        <v>16</v>
      </c>
      <c r="M4" s="5">
        <v>-4000</v>
      </c>
      <c r="N4" s="21" t="s">
        <v>115</v>
      </c>
    </row>
    <row r="5" spans="1:14" x14ac:dyDescent="0.35">
      <c r="A5" s="45" t="s">
        <v>54</v>
      </c>
      <c r="B5" s="44" t="s">
        <v>16</v>
      </c>
      <c r="C5" s="44">
        <v>-3500</v>
      </c>
      <c r="D5" s="46" t="s">
        <v>116</v>
      </c>
      <c r="F5" s="23" t="s">
        <v>60</v>
      </c>
      <c r="G5" s="5" t="s">
        <v>10</v>
      </c>
      <c r="H5" s="5">
        <v>5000</v>
      </c>
      <c r="I5" s="21" t="s">
        <v>84</v>
      </c>
      <c r="K5" s="23" t="s">
        <v>60</v>
      </c>
      <c r="L5" s="5" t="s">
        <v>14</v>
      </c>
      <c r="M5" s="5">
        <v>-3000</v>
      </c>
      <c r="N5" s="21" t="s">
        <v>117</v>
      </c>
    </row>
    <row r="6" spans="1:14" x14ac:dyDescent="0.35">
      <c r="A6" s="23" t="s">
        <v>53</v>
      </c>
      <c r="B6" s="5" t="s">
        <v>16</v>
      </c>
      <c r="C6" s="50">
        <v>750</v>
      </c>
      <c r="D6" s="21" t="s">
        <v>118</v>
      </c>
      <c r="F6" s="23" t="s">
        <v>60</v>
      </c>
      <c r="G6" s="5" t="s">
        <v>8</v>
      </c>
      <c r="H6" s="5">
        <v>5000</v>
      </c>
      <c r="I6" s="21" t="s">
        <v>177</v>
      </c>
      <c r="K6" s="23" t="s">
        <v>60</v>
      </c>
      <c r="L6" s="5" t="s">
        <v>10</v>
      </c>
      <c r="M6" s="5">
        <v>5000</v>
      </c>
      <c r="N6" s="21"/>
    </row>
    <row r="7" spans="1:14" x14ac:dyDescent="0.35">
      <c r="A7" s="23" t="s">
        <v>60</v>
      </c>
      <c r="B7" s="5" t="s">
        <v>16</v>
      </c>
      <c r="C7" s="5">
        <v>1000</v>
      </c>
      <c r="D7" s="21" t="s">
        <v>120</v>
      </c>
      <c r="F7" s="78"/>
      <c r="G7" s="50"/>
      <c r="H7" s="50"/>
      <c r="I7" s="109"/>
      <c r="K7" s="23" t="s">
        <v>60</v>
      </c>
      <c r="L7" s="5" t="s">
        <v>8</v>
      </c>
      <c r="M7" s="5">
        <v>5000</v>
      </c>
      <c r="N7" s="21" t="s">
        <v>177</v>
      </c>
    </row>
    <row r="8" spans="1:14" x14ac:dyDescent="0.35">
      <c r="A8" s="23" t="s">
        <v>60</v>
      </c>
      <c r="B8" s="44" t="s">
        <v>16</v>
      </c>
      <c r="C8" s="5">
        <v>22200</v>
      </c>
      <c r="D8" s="21" t="s">
        <v>121</v>
      </c>
      <c r="F8" s="23" t="s">
        <v>60</v>
      </c>
      <c r="G8" s="44" t="s">
        <v>14</v>
      </c>
      <c r="H8" s="5">
        <v>12867</v>
      </c>
      <c r="I8" s="21" t="s">
        <v>122</v>
      </c>
      <c r="K8" s="23" t="s">
        <v>60</v>
      </c>
      <c r="L8" s="5" t="s">
        <v>16</v>
      </c>
      <c r="M8" s="5">
        <v>-6000</v>
      </c>
      <c r="N8" s="21" t="s">
        <v>123</v>
      </c>
    </row>
    <row r="9" spans="1:14" x14ac:dyDescent="0.35">
      <c r="A9" s="23" t="s">
        <v>60</v>
      </c>
      <c r="B9" s="44" t="s">
        <v>10</v>
      </c>
      <c r="C9" s="5">
        <v>5000</v>
      </c>
      <c r="D9" s="21" t="s">
        <v>84</v>
      </c>
      <c r="F9" s="23"/>
      <c r="G9" s="15"/>
      <c r="H9" s="5"/>
      <c r="I9" s="21"/>
      <c r="K9" s="23" t="s">
        <v>58</v>
      </c>
      <c r="L9" s="5" t="s">
        <v>16</v>
      </c>
      <c r="M9" s="5">
        <f>45*1.4*12</f>
        <v>755.99999999999989</v>
      </c>
      <c r="N9" s="21" t="s">
        <v>124</v>
      </c>
    </row>
    <row r="10" spans="1:14" x14ac:dyDescent="0.35">
      <c r="A10" s="23" t="s">
        <v>59</v>
      </c>
      <c r="B10" s="44" t="s">
        <v>15</v>
      </c>
      <c r="C10" s="5">
        <v>1500</v>
      </c>
      <c r="D10" s="21" t="s">
        <v>125</v>
      </c>
      <c r="F10" s="23"/>
      <c r="G10" s="15"/>
      <c r="H10" s="5"/>
      <c r="I10" s="21"/>
      <c r="K10" s="23"/>
      <c r="L10" s="15"/>
      <c r="M10" s="5"/>
      <c r="N10" s="21"/>
    </row>
    <row r="11" spans="1:14" x14ac:dyDescent="0.35">
      <c r="A11" s="23" t="s">
        <v>59</v>
      </c>
      <c r="B11" s="44" t="s">
        <v>16</v>
      </c>
      <c r="C11" s="5">
        <v>2336</v>
      </c>
      <c r="D11" s="21" t="s">
        <v>126</v>
      </c>
      <c r="F11" s="23"/>
      <c r="G11" s="15"/>
      <c r="H11" s="5"/>
      <c r="I11" s="21"/>
      <c r="K11" s="23"/>
      <c r="L11" s="5"/>
      <c r="M11" s="5"/>
      <c r="N11" s="21"/>
    </row>
    <row r="12" spans="1:14" x14ac:dyDescent="0.35">
      <c r="A12" s="23" t="s">
        <v>60</v>
      </c>
      <c r="B12" s="44" t="s">
        <v>14</v>
      </c>
      <c r="C12" s="5">
        <v>600</v>
      </c>
      <c r="D12" s="21" t="s">
        <v>127</v>
      </c>
      <c r="F12" s="23"/>
      <c r="G12" s="5"/>
      <c r="H12" s="5"/>
      <c r="I12" s="21"/>
      <c r="K12" s="23"/>
      <c r="L12" s="5"/>
      <c r="M12" s="5"/>
      <c r="N12" s="21"/>
    </row>
    <row r="13" spans="1:14" x14ac:dyDescent="0.35">
      <c r="A13" s="23" t="s">
        <v>60</v>
      </c>
      <c r="B13" s="44" t="s">
        <v>14</v>
      </c>
      <c r="C13" s="5">
        <f>63070+6000</f>
        <v>69070</v>
      </c>
      <c r="D13" s="21" t="s">
        <v>128</v>
      </c>
      <c r="F13" s="23"/>
      <c r="G13" s="15"/>
      <c r="H13" s="5"/>
      <c r="I13" s="21"/>
      <c r="K13" s="23"/>
      <c r="L13" s="15"/>
      <c r="M13" s="5"/>
      <c r="N13" s="21"/>
    </row>
    <row r="14" spans="1:14" x14ac:dyDescent="0.35">
      <c r="A14" s="23" t="s">
        <v>59</v>
      </c>
      <c r="B14" s="44" t="s">
        <v>14</v>
      </c>
      <c r="C14" s="5">
        <v>1200</v>
      </c>
      <c r="D14" s="21" t="s">
        <v>129</v>
      </c>
      <c r="F14" s="23"/>
      <c r="G14" s="15"/>
      <c r="H14" s="5"/>
      <c r="I14" s="21"/>
      <c r="K14" s="23"/>
      <c r="L14" s="15"/>
      <c r="M14" s="5"/>
      <c r="N14" s="21"/>
    </row>
    <row r="15" spans="1:14" x14ac:dyDescent="0.35">
      <c r="A15" s="23" t="s">
        <v>58</v>
      </c>
      <c r="B15" s="44" t="s">
        <v>32</v>
      </c>
      <c r="C15" s="5">
        <v>30000</v>
      </c>
      <c r="D15" s="21" t="s">
        <v>130</v>
      </c>
      <c r="F15" s="23"/>
      <c r="G15" s="5"/>
      <c r="H15" s="5"/>
      <c r="I15" s="21"/>
      <c r="K15" s="23"/>
      <c r="L15" s="5"/>
      <c r="M15" s="5"/>
      <c r="N15" s="21"/>
    </row>
    <row r="16" spans="1:14" x14ac:dyDescent="0.35">
      <c r="A16" s="23" t="s">
        <v>58</v>
      </c>
      <c r="B16" s="44" t="s">
        <v>16</v>
      </c>
      <c r="C16" s="5">
        <v>100</v>
      </c>
      <c r="D16" s="21" t="s">
        <v>131</v>
      </c>
      <c r="F16" s="23"/>
      <c r="G16" s="5"/>
      <c r="H16" s="5"/>
      <c r="I16" s="21"/>
      <c r="K16" s="23"/>
      <c r="L16" s="5"/>
      <c r="M16" s="5"/>
      <c r="N16" s="21"/>
    </row>
    <row r="17" spans="1:14" x14ac:dyDescent="0.35">
      <c r="A17" s="23" t="s">
        <v>60</v>
      </c>
      <c r="B17" s="44" t="s">
        <v>8</v>
      </c>
      <c r="C17" s="5">
        <v>22117</v>
      </c>
      <c r="D17" s="21" t="s">
        <v>119</v>
      </c>
      <c r="F17" s="23"/>
      <c r="G17" s="5"/>
      <c r="H17" s="5"/>
      <c r="I17" s="21"/>
      <c r="K17" s="23"/>
      <c r="L17" s="5"/>
      <c r="M17" s="5"/>
      <c r="N17" s="21"/>
    </row>
    <row r="18" spans="1:14" x14ac:dyDescent="0.35">
      <c r="A18" s="23" t="s">
        <v>60</v>
      </c>
      <c r="B18" s="44" t="s">
        <v>9</v>
      </c>
      <c r="C18" s="5">
        <v>24300</v>
      </c>
      <c r="D18" s="21" t="s">
        <v>119</v>
      </c>
      <c r="F18" s="23"/>
      <c r="G18" s="5"/>
      <c r="H18" s="5"/>
      <c r="I18" s="21"/>
      <c r="K18" s="23"/>
      <c r="L18" s="5"/>
      <c r="M18" s="5"/>
      <c r="N18" s="21"/>
    </row>
    <row r="19" spans="1:14" x14ac:dyDescent="0.35">
      <c r="A19" s="23" t="s">
        <v>53</v>
      </c>
      <c r="B19" s="44" t="s">
        <v>16</v>
      </c>
      <c r="C19" s="5">
        <v>1000</v>
      </c>
      <c r="D19" s="21" t="s">
        <v>132</v>
      </c>
      <c r="F19" s="23"/>
      <c r="G19" s="5"/>
      <c r="H19" s="5"/>
      <c r="I19" s="21"/>
      <c r="K19" s="23"/>
      <c r="L19" s="5"/>
      <c r="M19" s="5"/>
      <c r="N19" s="21"/>
    </row>
    <row r="20" spans="1:14" x14ac:dyDescent="0.35">
      <c r="A20" s="23" t="s">
        <v>53</v>
      </c>
      <c r="B20" s="44" t="s">
        <v>16</v>
      </c>
      <c r="C20" s="5">
        <v>1000</v>
      </c>
      <c r="D20" s="21" t="s">
        <v>133</v>
      </c>
      <c r="F20" s="23"/>
      <c r="G20" s="5"/>
      <c r="H20" s="5"/>
      <c r="I20" s="21"/>
      <c r="K20" s="23"/>
      <c r="L20" s="5"/>
      <c r="M20" s="5"/>
      <c r="N20" s="21"/>
    </row>
    <row r="21" spans="1:14" x14ac:dyDescent="0.35">
      <c r="A21" s="23" t="s">
        <v>53</v>
      </c>
      <c r="B21" s="44" t="s">
        <v>16</v>
      </c>
      <c r="C21" s="5">
        <v>1000</v>
      </c>
      <c r="D21" s="21" t="s">
        <v>133</v>
      </c>
      <c r="F21" s="23"/>
      <c r="G21" s="5"/>
      <c r="H21" s="5"/>
      <c r="I21" s="21"/>
      <c r="K21" s="23"/>
      <c r="L21" s="5"/>
      <c r="M21" s="5"/>
      <c r="N21" s="21"/>
    </row>
    <row r="22" spans="1:14" x14ac:dyDescent="0.35">
      <c r="A22" s="23" t="s">
        <v>53</v>
      </c>
      <c r="B22" s="44" t="s">
        <v>16</v>
      </c>
      <c r="C22" s="5">
        <v>-600</v>
      </c>
      <c r="D22" s="21" t="s">
        <v>134</v>
      </c>
      <c r="F22" s="23"/>
      <c r="G22" s="5"/>
      <c r="H22" s="5"/>
      <c r="I22" s="21"/>
      <c r="K22" s="23"/>
      <c r="L22" s="5"/>
      <c r="M22" s="5"/>
      <c r="N22" s="21"/>
    </row>
    <row r="23" spans="1:14" x14ac:dyDescent="0.35">
      <c r="A23" s="23" t="s">
        <v>53</v>
      </c>
      <c r="B23" s="44" t="s">
        <v>15</v>
      </c>
      <c r="C23" s="44">
        <v>100</v>
      </c>
      <c r="D23" s="21" t="s">
        <v>135</v>
      </c>
      <c r="F23" s="23"/>
      <c r="G23" s="5"/>
      <c r="H23" s="5"/>
      <c r="I23" s="21"/>
      <c r="K23" s="23"/>
      <c r="L23" s="5"/>
      <c r="M23" s="5"/>
      <c r="N23" s="21"/>
    </row>
    <row r="24" spans="1:14" x14ac:dyDescent="0.35">
      <c r="A24" s="23" t="s">
        <v>53</v>
      </c>
      <c r="B24" s="50" t="s">
        <v>15</v>
      </c>
      <c r="C24" s="5">
        <v>330</v>
      </c>
      <c r="D24" s="21" t="s">
        <v>136</v>
      </c>
      <c r="F24" s="23"/>
      <c r="G24" s="5"/>
      <c r="H24" s="5"/>
      <c r="I24" s="21"/>
      <c r="K24" s="23"/>
      <c r="L24" s="5"/>
      <c r="M24" s="5"/>
      <c r="N24" s="21"/>
    </row>
    <row r="25" spans="1:14" x14ac:dyDescent="0.35">
      <c r="A25" s="23" t="s">
        <v>53</v>
      </c>
      <c r="B25" s="44" t="s">
        <v>15</v>
      </c>
      <c r="C25" s="44">
        <f>250+50+50</f>
        <v>350</v>
      </c>
      <c r="D25" s="21" t="s">
        <v>137</v>
      </c>
      <c r="F25" s="23"/>
      <c r="G25" s="15"/>
      <c r="H25" s="5"/>
      <c r="I25" s="21"/>
      <c r="K25" s="23"/>
      <c r="L25" s="15"/>
      <c r="M25" s="5"/>
      <c r="N25" s="21"/>
    </row>
    <row r="26" spans="1:14" x14ac:dyDescent="0.35">
      <c r="A26" s="23" t="s">
        <v>53</v>
      </c>
      <c r="B26" s="44" t="s">
        <v>15</v>
      </c>
      <c r="C26" s="5">
        <v>580</v>
      </c>
      <c r="D26" s="21" t="s">
        <v>138</v>
      </c>
      <c r="F26" s="23"/>
      <c r="G26" s="15"/>
      <c r="H26" s="5"/>
      <c r="I26" s="21"/>
      <c r="K26" s="23"/>
      <c r="L26" s="15"/>
      <c r="M26" s="5"/>
      <c r="N26" s="21"/>
    </row>
    <row r="27" spans="1:14" x14ac:dyDescent="0.35">
      <c r="A27" s="23" t="s">
        <v>53</v>
      </c>
      <c r="B27" s="50" t="s">
        <v>15</v>
      </c>
      <c r="C27" s="5">
        <v>500</v>
      </c>
      <c r="D27" s="21" t="s">
        <v>139</v>
      </c>
      <c r="F27" s="23"/>
      <c r="G27" s="5"/>
      <c r="H27" s="5"/>
      <c r="I27" s="21"/>
      <c r="K27" s="23"/>
      <c r="L27" s="5"/>
      <c r="M27" s="5"/>
      <c r="N27" s="21"/>
    </row>
    <row r="28" spans="1:14" x14ac:dyDescent="0.35">
      <c r="A28" s="23" t="s">
        <v>53</v>
      </c>
      <c r="B28" s="50" t="s">
        <v>15</v>
      </c>
      <c r="C28" s="5">
        <v>600</v>
      </c>
      <c r="D28" s="21" t="s">
        <v>140</v>
      </c>
      <c r="F28" s="23"/>
      <c r="G28" s="5"/>
      <c r="H28" s="5"/>
      <c r="I28" s="21"/>
      <c r="K28" s="23"/>
      <c r="L28" s="5"/>
      <c r="M28" s="5"/>
      <c r="N28" s="21"/>
    </row>
    <row r="29" spans="1:14" x14ac:dyDescent="0.35">
      <c r="A29" s="23" t="s">
        <v>53</v>
      </c>
      <c r="B29" s="50" t="s">
        <v>15</v>
      </c>
      <c r="C29" s="5">
        <v>125</v>
      </c>
      <c r="D29" s="21" t="s">
        <v>141</v>
      </c>
      <c r="F29" s="23"/>
      <c r="G29" s="5"/>
      <c r="H29" s="5"/>
      <c r="I29" s="21"/>
      <c r="K29" s="23"/>
      <c r="L29" s="5"/>
      <c r="M29" s="5"/>
      <c r="N29" s="21"/>
    </row>
    <row r="30" spans="1:14" x14ac:dyDescent="0.35">
      <c r="A30" s="23" t="s">
        <v>53</v>
      </c>
      <c r="B30" s="50" t="s">
        <v>15</v>
      </c>
      <c r="C30" s="5">
        <v>100</v>
      </c>
      <c r="D30" s="21" t="s">
        <v>142</v>
      </c>
      <c r="F30" s="23"/>
      <c r="G30" s="5"/>
      <c r="H30" s="5"/>
      <c r="I30" s="21"/>
      <c r="K30" s="23"/>
      <c r="L30" s="5"/>
      <c r="M30" s="5"/>
      <c r="N30" s="21"/>
    </row>
    <row r="31" spans="1:14" x14ac:dyDescent="0.35">
      <c r="A31" s="23"/>
      <c r="B31" s="50"/>
      <c r="C31" s="5"/>
      <c r="D31" s="21"/>
      <c r="F31" s="23"/>
      <c r="G31" s="5"/>
      <c r="H31" s="5"/>
      <c r="I31" s="21"/>
      <c r="K31" s="23"/>
      <c r="L31" s="5"/>
      <c r="M31" s="5"/>
      <c r="N31" s="21"/>
    </row>
    <row r="32" spans="1:14" x14ac:dyDescent="0.35">
      <c r="A32" s="23"/>
      <c r="B32" s="44"/>
      <c r="C32" s="15"/>
      <c r="D32" s="84"/>
      <c r="F32" s="23"/>
      <c r="G32" s="5"/>
      <c r="H32" s="5"/>
      <c r="I32" s="21"/>
      <c r="K32" s="23"/>
      <c r="L32" s="5"/>
      <c r="M32" s="5"/>
      <c r="N32" s="21"/>
    </row>
    <row r="33" spans="1:14" x14ac:dyDescent="0.35">
      <c r="A33" s="23"/>
      <c r="B33" s="44"/>
      <c r="C33" s="50"/>
      <c r="D33" s="74"/>
      <c r="F33" s="23"/>
      <c r="G33" s="5"/>
      <c r="H33" s="5"/>
      <c r="I33" s="21"/>
      <c r="K33" s="23"/>
      <c r="L33" s="5"/>
      <c r="M33" s="5"/>
      <c r="N33" s="21"/>
    </row>
    <row r="34" spans="1:14" x14ac:dyDescent="0.35">
      <c r="A34" s="23"/>
      <c r="B34" s="15"/>
      <c r="C34" s="5"/>
      <c r="D34" s="21"/>
      <c r="F34" s="23"/>
      <c r="G34" s="5"/>
      <c r="H34" s="5"/>
      <c r="I34" s="21"/>
      <c r="K34" s="23"/>
      <c r="L34" s="5"/>
      <c r="M34" s="5"/>
      <c r="N34" s="21"/>
    </row>
    <row r="35" spans="1:14" x14ac:dyDescent="0.35">
      <c r="A35" s="23"/>
      <c r="B35" s="15"/>
      <c r="C35" s="5"/>
      <c r="D35" s="21"/>
      <c r="F35" s="23"/>
      <c r="G35" s="5"/>
      <c r="H35" s="5"/>
      <c r="I35" s="21"/>
      <c r="K35" s="23"/>
      <c r="L35" s="5"/>
      <c r="M35" s="5"/>
      <c r="N35" s="21"/>
    </row>
    <row r="36" spans="1:14" x14ac:dyDescent="0.35">
      <c r="A36" s="23"/>
      <c r="B36" s="15"/>
      <c r="C36" s="5"/>
      <c r="D36" s="21"/>
      <c r="F36" s="23"/>
      <c r="G36" s="5"/>
      <c r="H36" s="5"/>
      <c r="I36" s="21"/>
      <c r="K36" s="23"/>
      <c r="L36" s="5"/>
      <c r="M36" s="5"/>
      <c r="N36" s="21"/>
    </row>
    <row r="37" spans="1:14" x14ac:dyDescent="0.35">
      <c r="A37" s="23"/>
      <c r="B37" s="15"/>
      <c r="C37" s="5"/>
      <c r="D37" s="21"/>
      <c r="F37" s="23"/>
      <c r="G37" s="15"/>
      <c r="H37" s="5"/>
      <c r="I37" s="21"/>
      <c r="K37" s="23"/>
      <c r="L37" s="15"/>
      <c r="M37" s="5"/>
      <c r="N37" s="21"/>
    </row>
    <row r="38" spans="1:14" x14ac:dyDescent="0.35">
      <c r="A38" s="23"/>
      <c r="B38" s="15"/>
      <c r="C38" s="5"/>
      <c r="D38" s="21"/>
      <c r="F38" s="23"/>
      <c r="G38" s="15"/>
      <c r="H38" s="5"/>
      <c r="I38" s="21"/>
      <c r="K38" s="23"/>
      <c r="L38" s="15"/>
      <c r="M38" s="5"/>
      <c r="N38" s="21"/>
    </row>
    <row r="39" spans="1:14" x14ac:dyDescent="0.35">
      <c r="A39" s="23"/>
      <c r="B39" s="15"/>
      <c r="C39" s="5"/>
      <c r="D39" s="21"/>
      <c r="F39" s="23"/>
      <c r="G39" s="5"/>
      <c r="H39" s="5"/>
      <c r="I39" s="21"/>
      <c r="K39" s="23"/>
      <c r="L39" s="5"/>
      <c r="M39" s="5"/>
      <c r="N39" s="21"/>
    </row>
    <row r="40" spans="1:14" x14ac:dyDescent="0.35">
      <c r="A40" s="23"/>
      <c r="B40" s="15"/>
      <c r="C40" s="5"/>
      <c r="D40" s="21"/>
      <c r="F40" s="23"/>
      <c r="G40" s="5"/>
      <c r="H40" s="5"/>
      <c r="I40" s="21"/>
      <c r="K40" s="23"/>
      <c r="L40" s="5"/>
      <c r="M40" s="5"/>
      <c r="N40" s="21"/>
    </row>
    <row r="41" spans="1:14" x14ac:dyDescent="0.35">
      <c r="A41" s="23"/>
      <c r="B41" s="15"/>
      <c r="C41" s="5"/>
      <c r="D41" s="21"/>
      <c r="F41" s="23"/>
      <c r="G41" s="5"/>
      <c r="H41" s="5"/>
      <c r="I41" s="21"/>
      <c r="K41" s="23"/>
      <c r="L41" s="5"/>
      <c r="M41" s="5"/>
      <c r="N41" s="21"/>
    </row>
    <row r="42" spans="1:14" x14ac:dyDescent="0.35">
      <c r="A42" s="23"/>
      <c r="B42" s="15"/>
      <c r="C42" s="5"/>
      <c r="D42" s="21"/>
      <c r="F42" s="23"/>
      <c r="G42" s="5"/>
      <c r="H42" s="5"/>
      <c r="I42" s="21"/>
      <c r="K42" s="23"/>
      <c r="L42" s="5"/>
      <c r="M42" s="5"/>
      <c r="N42" s="21"/>
    </row>
    <row r="43" spans="1:14" x14ac:dyDescent="0.35">
      <c r="A43" s="23"/>
      <c r="B43" s="15"/>
      <c r="C43" s="5"/>
      <c r="D43" s="21"/>
      <c r="F43" s="23"/>
      <c r="G43" s="5"/>
      <c r="H43" s="5"/>
      <c r="I43" s="21"/>
      <c r="K43" s="23"/>
      <c r="L43" s="5"/>
      <c r="M43" s="5"/>
      <c r="N43" s="21"/>
    </row>
    <row r="44" spans="1:14" x14ac:dyDescent="0.35">
      <c r="A44" s="23"/>
      <c r="B44" s="15"/>
      <c r="C44" s="5"/>
      <c r="D44" s="21"/>
      <c r="F44" s="23"/>
      <c r="G44" s="5"/>
      <c r="H44" s="5"/>
      <c r="I44" s="21"/>
      <c r="K44" s="23"/>
      <c r="L44" s="5"/>
      <c r="M44" s="5"/>
      <c r="N44" s="21"/>
    </row>
    <row r="45" spans="1:14" x14ac:dyDescent="0.35">
      <c r="A45" s="23"/>
      <c r="B45" s="15"/>
      <c r="C45" s="5"/>
      <c r="D45" s="21"/>
      <c r="F45" s="23"/>
      <c r="G45" s="5"/>
      <c r="H45" s="5"/>
      <c r="I45" s="21"/>
      <c r="K45" s="23"/>
      <c r="L45" s="5"/>
      <c r="M45" s="5"/>
      <c r="N45" s="21"/>
    </row>
    <row r="46" spans="1:14" x14ac:dyDescent="0.35">
      <c r="A46" s="23"/>
      <c r="B46" s="15"/>
      <c r="C46" s="5"/>
      <c r="D46" s="21"/>
      <c r="F46" s="23"/>
      <c r="G46" s="5"/>
      <c r="H46" s="5"/>
      <c r="I46" s="21"/>
      <c r="K46" s="23"/>
      <c r="L46" s="5"/>
      <c r="M46" s="5"/>
      <c r="N46" s="21"/>
    </row>
    <row r="47" spans="1:14" x14ac:dyDescent="0.35">
      <c r="A47" s="23"/>
      <c r="B47" s="15"/>
      <c r="C47" s="5"/>
      <c r="D47" s="21"/>
      <c r="F47" s="23"/>
      <c r="G47" s="5"/>
      <c r="H47" s="5"/>
      <c r="I47" s="21"/>
      <c r="K47" s="23"/>
      <c r="L47" s="5"/>
      <c r="M47" s="5"/>
      <c r="N47" s="21"/>
    </row>
    <row r="48" spans="1:14" x14ac:dyDescent="0.35">
      <c r="A48" s="23"/>
      <c r="B48" s="15"/>
      <c r="C48" s="5"/>
      <c r="D48" s="21"/>
      <c r="F48" s="23"/>
      <c r="G48" s="5"/>
      <c r="H48" s="5"/>
      <c r="I48" s="21"/>
      <c r="K48" s="23"/>
      <c r="L48" s="5"/>
      <c r="M48" s="5"/>
      <c r="N48" s="21"/>
    </row>
    <row r="49" spans="1:14" x14ac:dyDescent="0.35">
      <c r="A49" s="23"/>
      <c r="B49" s="15"/>
      <c r="C49" s="5"/>
      <c r="D49" s="21"/>
      <c r="F49" s="23"/>
      <c r="G49" s="15"/>
      <c r="H49" s="5"/>
      <c r="I49" s="21"/>
      <c r="K49" s="23"/>
      <c r="L49" s="15"/>
      <c r="M49" s="5"/>
      <c r="N49" s="21"/>
    </row>
    <row r="50" spans="1:14" x14ac:dyDescent="0.35">
      <c r="A50" s="23"/>
      <c r="B50" s="15"/>
      <c r="C50" s="5"/>
      <c r="D50" s="21"/>
      <c r="F50" s="23"/>
      <c r="G50" s="15"/>
      <c r="H50" s="5"/>
      <c r="I50" s="21"/>
      <c r="K50" s="23"/>
      <c r="L50" s="15"/>
      <c r="M50" s="5"/>
      <c r="N50" s="21"/>
    </row>
    <row r="51" spans="1:14" x14ac:dyDescent="0.35">
      <c r="A51" s="23"/>
      <c r="B51" s="5"/>
      <c r="C51" s="5"/>
      <c r="D51" s="21"/>
      <c r="F51" s="23"/>
      <c r="G51" s="5"/>
      <c r="H51" s="5"/>
      <c r="I51" s="21"/>
      <c r="K51" s="23"/>
      <c r="L51" s="5"/>
      <c r="M51" s="5"/>
      <c r="N51" s="21"/>
    </row>
    <row r="52" spans="1:14" x14ac:dyDescent="0.35">
      <c r="A52" s="23"/>
      <c r="B52" s="5"/>
      <c r="C52" s="5"/>
      <c r="D52" s="21"/>
      <c r="F52" s="23"/>
      <c r="G52" s="5"/>
      <c r="H52" s="5"/>
      <c r="I52" s="21"/>
      <c r="K52" s="23"/>
      <c r="L52" s="5"/>
      <c r="M52" s="5"/>
      <c r="N52" s="21"/>
    </row>
    <row r="53" spans="1:14" x14ac:dyDescent="0.35">
      <c r="A53" s="23"/>
      <c r="B53" s="5"/>
      <c r="C53" s="5"/>
      <c r="D53" s="21"/>
      <c r="F53" s="23"/>
      <c r="G53" s="5"/>
      <c r="H53" s="5"/>
      <c r="I53" s="21"/>
      <c r="K53" s="23"/>
      <c r="L53" s="5"/>
      <c r="M53" s="5"/>
      <c r="N53" s="21"/>
    </row>
    <row r="54" spans="1:14" x14ac:dyDescent="0.35">
      <c r="A54" s="23"/>
      <c r="B54" s="5"/>
      <c r="C54" s="5"/>
      <c r="D54" s="21"/>
      <c r="F54" s="23"/>
      <c r="G54" s="5"/>
      <c r="H54" s="5"/>
      <c r="I54" s="21"/>
      <c r="K54" s="23"/>
      <c r="L54" s="5"/>
      <c r="M54" s="5"/>
      <c r="N54" s="21"/>
    </row>
    <row r="55" spans="1:14" x14ac:dyDescent="0.35">
      <c r="A55" s="23"/>
      <c r="B55" s="5"/>
      <c r="C55" s="5"/>
      <c r="D55" s="21"/>
      <c r="F55" s="23"/>
      <c r="G55" s="5"/>
      <c r="H55" s="5"/>
      <c r="I55" s="21"/>
      <c r="K55" s="23"/>
      <c r="L55" s="5"/>
      <c r="M55" s="5"/>
      <c r="N55" s="21"/>
    </row>
    <row r="56" spans="1:14" x14ac:dyDescent="0.35">
      <c r="A56" s="23"/>
      <c r="B56" s="5"/>
      <c r="C56" s="5"/>
      <c r="D56" s="21"/>
      <c r="F56" s="23"/>
      <c r="G56" s="5"/>
      <c r="H56" s="5"/>
      <c r="I56" s="21"/>
      <c r="K56" s="23"/>
      <c r="L56" s="5"/>
      <c r="M56" s="5"/>
      <c r="N56" s="21"/>
    </row>
    <row r="57" spans="1:14" x14ac:dyDescent="0.35">
      <c r="A57" s="23"/>
      <c r="B57" s="5"/>
      <c r="C57" s="5"/>
      <c r="D57" s="21"/>
      <c r="F57" s="23"/>
      <c r="G57" s="5"/>
      <c r="H57" s="5"/>
      <c r="I57" s="21"/>
      <c r="K57" s="23"/>
      <c r="L57" s="5"/>
      <c r="M57" s="5"/>
      <c r="N57" s="21"/>
    </row>
    <row r="58" spans="1:14" x14ac:dyDescent="0.35">
      <c r="A58" s="23"/>
      <c r="B58" s="5"/>
      <c r="C58" s="5"/>
      <c r="D58" s="21"/>
      <c r="F58" s="23"/>
      <c r="G58" s="5"/>
      <c r="H58" s="5"/>
      <c r="I58" s="21"/>
      <c r="K58" s="23"/>
      <c r="L58" s="5"/>
      <c r="M58" s="5"/>
      <c r="N58" s="21"/>
    </row>
    <row r="59" spans="1:14" x14ac:dyDescent="0.35">
      <c r="A59" s="23"/>
      <c r="B59" s="5"/>
      <c r="C59" s="5"/>
      <c r="D59" s="21"/>
      <c r="F59" s="23"/>
      <c r="G59" s="5"/>
      <c r="H59" s="5"/>
      <c r="I59" s="21"/>
      <c r="K59" s="23"/>
      <c r="L59" s="5"/>
      <c r="M59" s="5"/>
      <c r="N59" s="21"/>
    </row>
    <row r="60" spans="1:14" x14ac:dyDescent="0.35">
      <c r="A60" s="23"/>
      <c r="B60" s="5"/>
      <c r="C60" s="5"/>
      <c r="D60" s="21"/>
      <c r="F60" s="23"/>
      <c r="G60" s="5"/>
      <c r="H60" s="5"/>
      <c r="I60" s="21"/>
      <c r="K60" s="23"/>
      <c r="L60" s="5"/>
      <c r="M60" s="5"/>
      <c r="N60" s="21"/>
    </row>
    <row r="61" spans="1:14" x14ac:dyDescent="0.35">
      <c r="A61" s="23"/>
      <c r="B61" s="15"/>
      <c r="C61" s="5"/>
      <c r="D61" s="21"/>
      <c r="F61" s="23"/>
      <c r="G61" s="15"/>
      <c r="H61" s="5"/>
      <c r="I61" s="21"/>
      <c r="K61" s="23"/>
      <c r="L61" s="15"/>
      <c r="M61" s="5"/>
      <c r="N61" s="21"/>
    </row>
    <row r="62" spans="1:14" x14ac:dyDescent="0.35">
      <c r="A62" s="23"/>
      <c r="B62" s="15"/>
      <c r="C62" s="5"/>
      <c r="D62" s="21"/>
      <c r="F62" s="23"/>
      <c r="G62" s="15"/>
      <c r="H62" s="5"/>
      <c r="I62" s="21"/>
      <c r="K62" s="23"/>
      <c r="L62" s="15"/>
      <c r="M62" s="5"/>
      <c r="N62" s="21"/>
    </row>
    <row r="63" spans="1:14" x14ac:dyDescent="0.35">
      <c r="A63" s="23"/>
      <c r="B63" s="5"/>
      <c r="C63" s="5"/>
      <c r="D63" s="21"/>
      <c r="F63" s="23"/>
      <c r="G63" s="5"/>
      <c r="H63" s="5"/>
      <c r="I63" s="21"/>
      <c r="K63" s="23"/>
      <c r="L63" s="5"/>
      <c r="M63" s="5"/>
      <c r="N63" s="21"/>
    </row>
    <row r="64" spans="1:14" x14ac:dyDescent="0.35">
      <c r="A64" s="23"/>
      <c r="B64" s="5"/>
      <c r="C64" s="5"/>
      <c r="D64" s="21"/>
      <c r="F64" s="23"/>
      <c r="G64" s="5"/>
      <c r="H64" s="5"/>
      <c r="I64" s="21"/>
      <c r="K64" s="23"/>
      <c r="L64" s="5"/>
      <c r="M64" s="5"/>
      <c r="N64" s="21"/>
    </row>
    <row r="65" spans="1:14" x14ac:dyDescent="0.35">
      <c r="A65" s="23"/>
      <c r="B65" s="5"/>
      <c r="C65" s="5"/>
      <c r="D65" s="21"/>
      <c r="F65" s="23"/>
      <c r="G65" s="5"/>
      <c r="H65" s="5"/>
      <c r="I65" s="21"/>
      <c r="K65" s="23"/>
      <c r="L65" s="5"/>
      <c r="M65" s="5"/>
      <c r="N65" s="21"/>
    </row>
    <row r="66" spans="1:14" x14ac:dyDescent="0.35">
      <c r="A66" s="23"/>
      <c r="B66" s="5"/>
      <c r="C66" s="5"/>
      <c r="D66" s="21"/>
      <c r="F66" s="23"/>
      <c r="G66" s="5"/>
      <c r="H66" s="5"/>
      <c r="I66" s="21"/>
      <c r="K66" s="23"/>
      <c r="L66" s="5"/>
      <c r="M66" s="5"/>
      <c r="N66" s="21"/>
    </row>
    <row r="67" spans="1:14" x14ac:dyDescent="0.35">
      <c r="A67" s="23"/>
      <c r="B67" s="5"/>
      <c r="C67" s="5"/>
      <c r="D67" s="21"/>
      <c r="F67" s="23"/>
      <c r="G67" s="5"/>
      <c r="H67" s="5"/>
      <c r="I67" s="21"/>
      <c r="K67" s="23"/>
      <c r="L67" s="5"/>
      <c r="M67" s="5"/>
      <c r="N67" s="21"/>
    </row>
    <row r="68" spans="1:14" x14ac:dyDescent="0.35">
      <c r="A68" s="23"/>
      <c r="B68" s="5"/>
      <c r="C68" s="5"/>
      <c r="D68" s="21"/>
      <c r="F68" s="23"/>
      <c r="G68" s="5"/>
      <c r="H68" s="5"/>
      <c r="I68" s="21"/>
      <c r="K68" s="23"/>
      <c r="L68" s="5"/>
      <c r="M68" s="5"/>
      <c r="N68" s="21"/>
    </row>
    <row r="69" spans="1:14" x14ac:dyDescent="0.35">
      <c r="A69" s="23"/>
      <c r="B69" s="5"/>
      <c r="C69" s="5"/>
      <c r="D69" s="21"/>
      <c r="F69" s="23"/>
      <c r="G69" s="5"/>
      <c r="H69" s="5"/>
      <c r="I69" s="21"/>
      <c r="K69" s="23"/>
      <c r="L69" s="5"/>
      <c r="M69" s="5"/>
      <c r="N69" s="21"/>
    </row>
    <row r="70" spans="1:14" x14ac:dyDescent="0.35">
      <c r="A70" s="23"/>
      <c r="B70" s="5"/>
      <c r="C70" s="5"/>
      <c r="D70" s="21"/>
      <c r="F70" s="23"/>
      <c r="G70" s="5"/>
      <c r="H70" s="5"/>
      <c r="I70" s="21"/>
      <c r="K70" s="23"/>
      <c r="L70" s="5"/>
      <c r="M70" s="5"/>
      <c r="N70" s="21"/>
    </row>
    <row r="71" spans="1:14" x14ac:dyDescent="0.35">
      <c r="A71" s="23"/>
      <c r="B71" s="5"/>
      <c r="C71" s="5"/>
      <c r="D71" s="21"/>
      <c r="F71" s="23"/>
      <c r="G71" s="5"/>
      <c r="H71" s="5"/>
      <c r="I71" s="21"/>
      <c r="K71" s="23"/>
      <c r="L71" s="5"/>
      <c r="M71" s="5"/>
      <c r="N71" s="21"/>
    </row>
    <row r="72" spans="1:14" x14ac:dyDescent="0.35">
      <c r="A72" s="23"/>
      <c r="B72" s="5"/>
      <c r="C72" s="5"/>
      <c r="D72" s="21"/>
      <c r="F72" s="23"/>
      <c r="G72" s="5"/>
      <c r="H72" s="5"/>
      <c r="I72" s="21"/>
      <c r="K72" s="23"/>
      <c r="L72" s="5"/>
      <c r="M72" s="5"/>
      <c r="N72" s="21"/>
    </row>
    <row r="73" spans="1:14" x14ac:dyDescent="0.35">
      <c r="A73" s="23"/>
      <c r="B73" s="15"/>
      <c r="C73" s="5"/>
      <c r="D73" s="21"/>
      <c r="F73" s="23"/>
      <c r="G73" s="15"/>
      <c r="H73" s="5"/>
      <c r="I73" s="21"/>
      <c r="K73" s="23"/>
      <c r="L73" s="15"/>
      <c r="M73" s="5"/>
      <c r="N73" s="21"/>
    </row>
    <row r="74" spans="1:14" x14ac:dyDescent="0.35">
      <c r="A74" s="23"/>
      <c r="B74" s="15"/>
      <c r="C74" s="5"/>
      <c r="D74" s="21"/>
      <c r="F74" s="23"/>
      <c r="G74" s="15"/>
      <c r="H74" s="5"/>
      <c r="I74" s="21"/>
      <c r="K74" s="23"/>
      <c r="L74" s="15"/>
      <c r="M74" s="5"/>
      <c r="N74" s="21"/>
    </row>
    <row r="75" spans="1:14" x14ac:dyDescent="0.35">
      <c r="A75" s="23"/>
      <c r="B75" s="5"/>
      <c r="C75" s="5"/>
      <c r="D75" s="21"/>
      <c r="F75" s="23"/>
      <c r="G75" s="5"/>
      <c r="H75" s="5"/>
      <c r="I75" s="21"/>
      <c r="K75" s="23"/>
      <c r="L75" s="5"/>
      <c r="M75" s="5"/>
      <c r="N75" s="21"/>
    </row>
    <row r="76" spans="1:14" x14ac:dyDescent="0.35">
      <c r="A76" s="23"/>
      <c r="B76" s="5"/>
      <c r="C76" s="5"/>
      <c r="D76" s="21"/>
      <c r="F76" s="23"/>
      <c r="G76" s="5"/>
      <c r="H76" s="5"/>
      <c r="I76" s="21"/>
      <c r="K76" s="23"/>
      <c r="L76" s="5"/>
      <c r="M76" s="5"/>
      <c r="N76" s="21"/>
    </row>
    <row r="77" spans="1:14" x14ac:dyDescent="0.35">
      <c r="A77" s="23"/>
      <c r="B77" s="5"/>
      <c r="C77" s="5"/>
      <c r="D77" s="21"/>
      <c r="F77" s="23"/>
      <c r="G77" s="5"/>
      <c r="H77" s="5"/>
      <c r="I77" s="21"/>
      <c r="K77" s="23"/>
      <c r="L77" s="5"/>
      <c r="M77" s="5"/>
      <c r="N77" s="21"/>
    </row>
    <row r="78" spans="1:14" x14ac:dyDescent="0.35">
      <c r="A78" s="23"/>
      <c r="B78" s="5"/>
      <c r="C78" s="5"/>
      <c r="D78" s="21"/>
      <c r="F78" s="23"/>
      <c r="G78" s="5"/>
      <c r="H78" s="5"/>
      <c r="I78" s="21"/>
      <c r="K78" s="23"/>
      <c r="L78" s="5"/>
      <c r="M78" s="5"/>
      <c r="N78" s="21"/>
    </row>
    <row r="79" spans="1:14" x14ac:dyDescent="0.35">
      <c r="A79" s="23"/>
      <c r="B79" s="5"/>
      <c r="C79" s="5"/>
      <c r="D79" s="21"/>
      <c r="F79" s="23"/>
      <c r="G79" s="5"/>
      <c r="H79" s="5"/>
      <c r="I79" s="21"/>
      <c r="K79" s="23"/>
      <c r="L79" s="5"/>
      <c r="M79" s="5"/>
      <c r="N79" s="21"/>
    </row>
    <row r="80" spans="1:14" x14ac:dyDescent="0.35">
      <c r="A80" s="23"/>
      <c r="B80" s="5"/>
      <c r="C80" s="5"/>
      <c r="D80" s="21"/>
      <c r="F80" s="23"/>
      <c r="G80" s="5"/>
      <c r="H80" s="5"/>
      <c r="I80" s="21"/>
      <c r="K80" s="23"/>
      <c r="L80" s="5"/>
      <c r="M80" s="5"/>
      <c r="N80" s="21"/>
    </row>
    <row r="81" spans="1:14" x14ac:dyDescent="0.35">
      <c r="A81" s="23"/>
      <c r="B81" s="5"/>
      <c r="C81" s="5"/>
      <c r="D81" s="21"/>
      <c r="F81" s="23"/>
      <c r="G81" s="5"/>
      <c r="H81" s="5"/>
      <c r="I81" s="21"/>
      <c r="K81" s="23"/>
      <c r="L81" s="5"/>
      <c r="M81" s="5"/>
      <c r="N81" s="21"/>
    </row>
    <row r="82" spans="1:14" x14ac:dyDescent="0.35">
      <c r="A82" s="23"/>
      <c r="B82" s="5"/>
      <c r="C82" s="5"/>
      <c r="D82" s="21"/>
      <c r="F82" s="23"/>
      <c r="G82" s="5"/>
      <c r="H82" s="5"/>
      <c r="I82" s="21"/>
      <c r="K82" s="23"/>
      <c r="L82" s="5"/>
      <c r="M82" s="5"/>
      <c r="N82" s="21"/>
    </row>
    <row r="83" spans="1:14" x14ac:dyDescent="0.35">
      <c r="A83" s="23"/>
      <c r="B83" s="5"/>
      <c r="C83" s="5"/>
      <c r="D83" s="21"/>
      <c r="F83" s="23"/>
      <c r="G83" s="5"/>
      <c r="H83" s="5"/>
      <c r="I83" s="21"/>
      <c r="K83" s="23"/>
      <c r="L83" s="5"/>
      <c r="M83" s="5"/>
      <c r="N83" s="21"/>
    </row>
    <row r="84" spans="1:14" x14ac:dyDescent="0.35">
      <c r="A84" s="23"/>
      <c r="B84" s="5"/>
      <c r="C84" s="5"/>
      <c r="D84" s="21"/>
      <c r="F84" s="23"/>
      <c r="G84" s="5"/>
      <c r="H84" s="5"/>
      <c r="I84" s="21"/>
      <c r="K84" s="23"/>
      <c r="L84" s="5"/>
      <c r="M84" s="5"/>
      <c r="N84" s="21"/>
    </row>
    <row r="85" spans="1:14" x14ac:dyDescent="0.35">
      <c r="A85" s="23"/>
      <c r="B85" s="15"/>
      <c r="C85" s="5"/>
      <c r="D85" s="21"/>
      <c r="F85" s="23"/>
      <c r="G85" s="15"/>
      <c r="H85" s="5"/>
      <c r="I85" s="21"/>
      <c r="K85" s="23"/>
      <c r="L85" s="15"/>
      <c r="M85" s="5"/>
      <c r="N85" s="21"/>
    </row>
    <row r="86" spans="1:14" x14ac:dyDescent="0.35">
      <c r="A86" s="23"/>
      <c r="B86" s="15"/>
      <c r="C86" s="5"/>
      <c r="D86" s="21"/>
      <c r="F86" s="23"/>
      <c r="G86" s="15"/>
      <c r="H86" s="5"/>
      <c r="I86" s="21"/>
      <c r="K86" s="23"/>
      <c r="L86" s="15"/>
      <c r="M86" s="5"/>
      <c r="N86" s="21"/>
    </row>
    <row r="87" spans="1:14" x14ac:dyDescent="0.35">
      <c r="A87" s="23"/>
      <c r="B87" s="5"/>
      <c r="C87" s="5"/>
      <c r="D87" s="21"/>
      <c r="F87" s="23"/>
      <c r="G87" s="5"/>
      <c r="H87" s="5"/>
      <c r="I87" s="21"/>
      <c r="K87" s="23"/>
      <c r="L87" s="5"/>
      <c r="M87" s="5"/>
      <c r="N87" s="21"/>
    </row>
    <row r="88" spans="1:14" x14ac:dyDescent="0.35">
      <c r="A88" s="23"/>
      <c r="B88" s="5"/>
      <c r="C88" s="5"/>
      <c r="D88" s="21"/>
      <c r="F88" s="23"/>
      <c r="G88" s="5"/>
      <c r="H88" s="5"/>
      <c r="I88" s="21"/>
      <c r="K88" s="23"/>
      <c r="L88" s="5"/>
      <c r="M88" s="5"/>
      <c r="N88" s="21"/>
    </row>
    <row r="89" spans="1:14" x14ac:dyDescent="0.35">
      <c r="A89" s="23"/>
      <c r="B89" s="5"/>
      <c r="C89" s="5"/>
      <c r="D89" s="21"/>
      <c r="F89" s="23"/>
      <c r="G89" s="5"/>
      <c r="H89" s="5"/>
      <c r="I89" s="21"/>
      <c r="K89" s="23"/>
      <c r="L89" s="5"/>
      <c r="M89" s="5"/>
      <c r="N89" s="21"/>
    </row>
    <row r="90" spans="1:14" x14ac:dyDescent="0.35">
      <c r="A90" s="23"/>
      <c r="B90" s="5"/>
      <c r="C90" s="5"/>
      <c r="D90" s="21"/>
      <c r="F90" s="23"/>
      <c r="G90" s="5"/>
      <c r="H90" s="5"/>
      <c r="I90" s="21"/>
      <c r="K90" s="23"/>
      <c r="L90" s="5"/>
      <c r="M90" s="5"/>
      <c r="N90" s="21"/>
    </row>
    <row r="91" spans="1:14" x14ac:dyDescent="0.35">
      <c r="A91" s="23"/>
      <c r="B91" s="5"/>
      <c r="C91" s="5"/>
      <c r="D91" s="21"/>
      <c r="F91" s="23"/>
      <c r="G91" s="5"/>
      <c r="H91" s="5"/>
      <c r="I91" s="21"/>
      <c r="K91" s="23"/>
      <c r="L91" s="5"/>
      <c r="M91" s="5"/>
      <c r="N91" s="21"/>
    </row>
    <row r="92" spans="1:14" x14ac:dyDescent="0.35">
      <c r="A92" s="23"/>
      <c r="B92" s="5"/>
      <c r="C92" s="5"/>
      <c r="D92" s="21"/>
      <c r="F92" s="23"/>
      <c r="G92" s="5"/>
      <c r="H92" s="5"/>
      <c r="I92" s="21"/>
      <c r="K92" s="23"/>
      <c r="L92" s="5"/>
      <c r="M92" s="5"/>
      <c r="N92" s="21"/>
    </row>
    <row r="93" spans="1:14" x14ac:dyDescent="0.35">
      <c r="A93" s="23"/>
      <c r="B93" s="5"/>
      <c r="C93" s="5"/>
      <c r="D93" s="21"/>
      <c r="F93" s="23"/>
      <c r="G93" s="5"/>
      <c r="H93" s="5"/>
      <c r="I93" s="21"/>
      <c r="K93" s="23"/>
      <c r="L93" s="5"/>
      <c r="M93" s="5"/>
      <c r="N93" s="21"/>
    </row>
    <row r="94" spans="1:14" x14ac:dyDescent="0.35">
      <c r="A94" s="23"/>
      <c r="B94" s="5"/>
      <c r="C94" s="5"/>
      <c r="D94" s="21"/>
      <c r="F94" s="23"/>
      <c r="G94" s="5"/>
      <c r="H94" s="5"/>
      <c r="I94" s="21"/>
      <c r="K94" s="23"/>
      <c r="L94" s="5"/>
      <c r="M94" s="5"/>
      <c r="N94" s="21"/>
    </row>
    <row r="95" spans="1:14" x14ac:dyDescent="0.35">
      <c r="A95" s="23"/>
      <c r="B95" s="5"/>
      <c r="C95" s="6"/>
      <c r="D95" s="22"/>
      <c r="F95" s="23"/>
      <c r="G95" s="5"/>
      <c r="H95" s="6"/>
      <c r="I95" s="22"/>
      <c r="K95" s="23"/>
      <c r="L95" s="5"/>
      <c r="M95" s="6"/>
      <c r="N95" s="22"/>
    </row>
    <row r="96" spans="1:14" x14ac:dyDescent="0.35">
      <c r="A96" s="23"/>
      <c r="B96" s="5"/>
      <c r="C96" s="5"/>
      <c r="D96" s="21"/>
      <c r="F96" s="23"/>
      <c r="G96" s="5"/>
      <c r="H96" s="5"/>
      <c r="I96" s="21"/>
      <c r="K96" s="23"/>
      <c r="L96" s="5"/>
      <c r="M96" s="5"/>
      <c r="N96" s="21"/>
    </row>
    <row r="97" spans="1:14" x14ac:dyDescent="0.35">
      <c r="A97" s="23"/>
      <c r="B97" s="15"/>
      <c r="C97" s="5"/>
      <c r="D97" s="21"/>
      <c r="F97" s="23"/>
      <c r="G97" s="15"/>
      <c r="H97" s="5"/>
      <c r="I97" s="21"/>
      <c r="K97" s="23"/>
      <c r="L97" s="15"/>
      <c r="M97" s="5"/>
      <c r="N97" s="21"/>
    </row>
    <row r="98" spans="1:14" x14ac:dyDescent="0.35">
      <c r="A98" s="23"/>
      <c r="B98" s="15"/>
      <c r="C98" s="5"/>
      <c r="D98" s="21"/>
      <c r="F98" s="23"/>
      <c r="G98" s="15"/>
      <c r="H98" s="5"/>
      <c r="I98" s="21"/>
      <c r="K98" s="23"/>
      <c r="L98" s="15"/>
      <c r="M98" s="5"/>
      <c r="N98" s="21"/>
    </row>
    <row r="99" spans="1:14" x14ac:dyDescent="0.35">
      <c r="A99" s="27"/>
      <c r="B99" s="28"/>
      <c r="C99" s="29"/>
      <c r="D99" s="30"/>
      <c r="F99" s="27"/>
      <c r="G99" s="28"/>
      <c r="H99" s="29"/>
      <c r="I99" s="30"/>
      <c r="K99" s="27"/>
      <c r="L99" s="28"/>
      <c r="M99" s="29"/>
      <c r="N99" s="30"/>
    </row>
    <row r="100" spans="1:14" x14ac:dyDescent="0.35">
      <c r="A100" s="40"/>
      <c r="B100" s="41"/>
      <c r="C100" s="42">
        <f>SUBTOTAL(109,Tabell626[Belopp (tkr)])</f>
        <v>195262</v>
      </c>
      <c r="D100" s="43"/>
      <c r="E100" s="108"/>
      <c r="F100" s="40"/>
      <c r="G100" s="41"/>
      <c r="H100" s="42">
        <f>SUBTOTAL(109,Tabell838[Belopp (tkr)])</f>
        <v>40476</v>
      </c>
      <c r="I100" s="43"/>
      <c r="K100" s="40"/>
      <c r="L100" s="41"/>
      <c r="M100" s="42">
        <f>SUBTOTAL(109,Tabell9411[Belopp (tkr)])</f>
        <v>10116</v>
      </c>
      <c r="N100" s="43"/>
    </row>
  </sheetData>
  <mergeCells count="3">
    <mergeCell ref="B1:D1"/>
    <mergeCell ref="G1:I1"/>
    <mergeCell ref="L1:N1"/>
  </mergeCells>
  <pageMargins left="0.7" right="0.7" top="0.75" bottom="0.75" header="0.3" footer="0.3"/>
  <pageSetup paperSize="9" orientation="portrait" r:id="rId1"/>
  <legacy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D8C85E3-80BC-4B11-849D-80C4E318B1DE}">
          <x14:formula1>
            <xm:f>Tabell!$B$3:$B$14</xm:f>
          </x14:formula1>
          <xm:sqref>G96:G98 L4:L5 L8:L9 L11:L98</xm:sqref>
        </x14:dataValidation>
        <x14:dataValidation type="list" allowBlank="1" showInputMessage="1" showErrorMessage="1" xr:uid="{09A852E2-8D79-4329-8277-D57242388A27}">
          <x14:formula1>
            <xm:f>Tabell!$A$3:$A$18</xm:f>
          </x14:formula1>
          <xm:sqref>A49:A99 F3:F8 F12:F99 A3:A29 A32:A33 K3:K9 K11:K99</xm:sqref>
        </x14:dataValidation>
        <x14:dataValidation type="list" allowBlank="1" showInputMessage="1" showErrorMessage="1" xr:uid="{7573258C-F81C-4B00-B876-3C1DEF1F62D0}">
          <x14:formula1>
            <xm:f>Tabell!$B$2:$B$14</xm:f>
          </x14:formula1>
          <xm:sqref>L3 L6:L7 B49:B99 G3:G8 G12:G95 B3:B29 B32:B33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1F937-E29F-441B-A85B-EBEB5FA31EC9}">
  <dimension ref="A1:N118"/>
  <sheetViews>
    <sheetView zoomScale="85" zoomScaleNormal="85" workbookViewId="0">
      <selection activeCell="C101" sqref="C101"/>
    </sheetView>
  </sheetViews>
  <sheetFormatPr defaultRowHeight="14.5" x14ac:dyDescent="0.35"/>
  <cols>
    <col min="1" max="1" width="25.54296875" bestFit="1" customWidth="1"/>
    <col min="2" max="2" width="25.453125" bestFit="1" customWidth="1"/>
    <col min="3" max="3" width="10.54296875" customWidth="1"/>
    <col min="4" max="4" width="29.54296875" customWidth="1"/>
    <col min="6" max="7" width="25" customWidth="1"/>
    <col min="8" max="8" width="17.26953125" customWidth="1"/>
    <col min="9" max="9" width="27.453125" bestFit="1" customWidth="1"/>
    <col min="10" max="10" width="14" customWidth="1"/>
    <col min="11" max="12" width="24.7265625" customWidth="1"/>
    <col min="13" max="13" width="17.26953125" customWidth="1"/>
    <col min="14" max="14" width="26.26953125" customWidth="1"/>
  </cols>
  <sheetData>
    <row r="1" spans="1:14" ht="18.5" x14ac:dyDescent="0.45">
      <c r="B1" s="110" t="s">
        <v>2</v>
      </c>
      <c r="C1" s="110"/>
      <c r="D1" s="110"/>
      <c r="G1" s="110" t="s">
        <v>3</v>
      </c>
      <c r="H1" s="110"/>
      <c r="I1" s="110"/>
      <c r="L1" s="110" t="s">
        <v>4</v>
      </c>
      <c r="M1" s="110"/>
      <c r="N1" s="110"/>
    </row>
    <row r="2" spans="1:14" x14ac:dyDescent="0.35">
      <c r="A2" s="24" t="s">
        <v>44</v>
      </c>
      <c r="B2" s="25" t="s">
        <v>78</v>
      </c>
      <c r="C2" s="25" t="s">
        <v>79</v>
      </c>
      <c r="D2" s="26" t="s">
        <v>80</v>
      </c>
      <c r="E2" s="20"/>
      <c r="F2" s="24" t="s">
        <v>44</v>
      </c>
      <c r="G2" s="25" t="s">
        <v>78</v>
      </c>
      <c r="H2" s="25" t="s">
        <v>79</v>
      </c>
      <c r="I2" s="26" t="s">
        <v>80</v>
      </c>
      <c r="J2" s="20"/>
      <c r="K2" s="24" t="s">
        <v>44</v>
      </c>
      <c r="L2" s="25" t="s">
        <v>78</v>
      </c>
      <c r="M2" s="25" t="s">
        <v>79</v>
      </c>
      <c r="N2" s="26" t="s">
        <v>80</v>
      </c>
    </row>
    <row r="3" spans="1:14" hidden="1" x14ac:dyDescent="0.35">
      <c r="A3" s="23"/>
      <c r="B3" s="5"/>
      <c r="C3" s="5"/>
      <c r="D3" s="21"/>
      <c r="F3" s="23"/>
      <c r="G3" s="47"/>
      <c r="H3" s="5"/>
      <c r="I3" s="21"/>
      <c r="K3" s="23"/>
      <c r="L3" s="5"/>
      <c r="M3" s="5"/>
      <c r="N3" s="21"/>
    </row>
    <row r="4" spans="1:14" hidden="1" x14ac:dyDescent="0.35">
      <c r="A4" s="23" t="s">
        <v>53</v>
      </c>
      <c r="B4" s="5" t="s">
        <v>15</v>
      </c>
      <c r="C4" s="5">
        <f>1728+32</f>
        <v>1760</v>
      </c>
      <c r="D4" s="21" t="s">
        <v>143</v>
      </c>
      <c r="F4" s="23" t="s">
        <v>53</v>
      </c>
      <c r="G4" s="5" t="s">
        <v>16</v>
      </c>
      <c r="H4" s="60">
        <f>1268.28+32</f>
        <v>1300.28</v>
      </c>
      <c r="I4" s="21" t="s">
        <v>143</v>
      </c>
      <c r="K4" s="23" t="s">
        <v>53</v>
      </c>
      <c r="L4" s="5" t="s">
        <v>16</v>
      </c>
      <c r="M4" s="60">
        <f>1268.28+32</f>
        <v>1300.28</v>
      </c>
      <c r="N4" s="21" t="s">
        <v>143</v>
      </c>
    </row>
    <row r="5" spans="1:14" hidden="1" x14ac:dyDescent="0.35">
      <c r="A5" s="23" t="s">
        <v>53</v>
      </c>
      <c r="B5" s="5" t="s">
        <v>16</v>
      </c>
      <c r="C5" s="5">
        <v>422.76</v>
      </c>
      <c r="D5" s="21" t="s">
        <v>143</v>
      </c>
      <c r="F5" s="23" t="s">
        <v>60</v>
      </c>
      <c r="G5" s="5" t="s">
        <v>7</v>
      </c>
      <c r="H5" s="44">
        <v>1600</v>
      </c>
      <c r="I5" s="21" t="s">
        <v>144</v>
      </c>
      <c r="K5" s="23" t="s">
        <v>60</v>
      </c>
      <c r="L5" s="5" t="s">
        <v>7</v>
      </c>
      <c r="M5" s="44">
        <v>1700</v>
      </c>
      <c r="N5" s="48" t="s">
        <v>144</v>
      </c>
    </row>
    <row r="6" spans="1:14" hidden="1" x14ac:dyDescent="0.35">
      <c r="A6" s="23" t="s">
        <v>53</v>
      </c>
      <c r="B6" s="5" t="s">
        <v>15</v>
      </c>
      <c r="C6" s="5">
        <f>240+32</f>
        <v>272</v>
      </c>
      <c r="D6" s="21" t="s">
        <v>86</v>
      </c>
      <c r="F6" s="23" t="s">
        <v>60</v>
      </c>
      <c r="G6" s="44" t="s">
        <v>8</v>
      </c>
      <c r="H6" s="5">
        <v>2100</v>
      </c>
      <c r="I6" s="21" t="s">
        <v>145</v>
      </c>
      <c r="K6" s="23" t="s">
        <v>60</v>
      </c>
      <c r="L6" s="5" t="s">
        <v>7</v>
      </c>
      <c r="M6" s="44">
        <v>400</v>
      </c>
      <c r="N6" s="49" t="s">
        <v>146</v>
      </c>
    </row>
    <row r="7" spans="1:14" hidden="1" x14ac:dyDescent="0.35">
      <c r="A7" s="23" t="s">
        <v>53</v>
      </c>
      <c r="B7" s="5" t="s">
        <v>16</v>
      </c>
      <c r="C7" s="29">
        <v>1617</v>
      </c>
      <c r="D7" s="21" t="s">
        <v>86</v>
      </c>
      <c r="F7" s="23" t="s">
        <v>60</v>
      </c>
      <c r="G7" s="44" t="s">
        <v>7</v>
      </c>
      <c r="H7" s="5">
        <v>400</v>
      </c>
      <c r="I7" s="21" t="s">
        <v>146</v>
      </c>
      <c r="K7" s="23" t="s">
        <v>60</v>
      </c>
      <c r="L7" s="5" t="s">
        <v>8</v>
      </c>
      <c r="M7" s="60">
        <v>1400</v>
      </c>
      <c r="N7" s="48" t="s">
        <v>147</v>
      </c>
    </row>
    <row r="8" spans="1:14" hidden="1" x14ac:dyDescent="0.35">
      <c r="A8" s="23" t="s">
        <v>60</v>
      </c>
      <c r="B8" s="21" t="s">
        <v>6</v>
      </c>
      <c r="C8" s="75">
        <v>2000</v>
      </c>
      <c r="D8" s="21" t="s">
        <v>148</v>
      </c>
      <c r="F8" s="23" t="s">
        <v>60</v>
      </c>
      <c r="G8" s="44" t="s">
        <v>8</v>
      </c>
      <c r="H8" s="5">
        <v>1400</v>
      </c>
      <c r="I8" s="21" t="s">
        <v>147</v>
      </c>
      <c r="K8" s="23" t="s">
        <v>60</v>
      </c>
      <c r="L8" s="5" t="s">
        <v>8</v>
      </c>
      <c r="M8" s="44">
        <v>7000</v>
      </c>
      <c r="N8" s="49" t="s">
        <v>149</v>
      </c>
    </row>
    <row r="9" spans="1:14" hidden="1" x14ac:dyDescent="0.35">
      <c r="A9" s="23" t="s">
        <v>60</v>
      </c>
      <c r="B9" s="21" t="s">
        <v>6</v>
      </c>
      <c r="C9" s="75">
        <v>1000</v>
      </c>
      <c r="D9" s="21" t="s">
        <v>150</v>
      </c>
      <c r="F9" s="23" t="s">
        <v>60</v>
      </c>
      <c r="G9" s="44" t="s">
        <v>8</v>
      </c>
      <c r="H9" s="5">
        <v>7000</v>
      </c>
      <c r="I9" s="21" t="s">
        <v>149</v>
      </c>
      <c r="K9" s="23" t="s">
        <v>60</v>
      </c>
      <c r="L9" s="5" t="s">
        <v>8</v>
      </c>
      <c r="M9" s="60">
        <v>2200</v>
      </c>
      <c r="N9" s="48" t="s">
        <v>145</v>
      </c>
    </row>
    <row r="10" spans="1:14" hidden="1" x14ac:dyDescent="0.35">
      <c r="A10" s="23" t="s">
        <v>60</v>
      </c>
      <c r="B10" s="21" t="s">
        <v>7</v>
      </c>
      <c r="C10" s="75">
        <v>1500</v>
      </c>
      <c r="D10" s="21" t="s">
        <v>151</v>
      </c>
      <c r="F10" s="23"/>
      <c r="G10" s="44"/>
      <c r="H10" s="15"/>
      <c r="I10" s="84"/>
      <c r="K10" s="23" t="s">
        <v>60</v>
      </c>
      <c r="L10" s="5" t="s">
        <v>7</v>
      </c>
      <c r="M10" s="5">
        <v>1472</v>
      </c>
      <c r="N10" s="21" t="s">
        <v>152</v>
      </c>
    </row>
    <row r="11" spans="1:14" hidden="1" x14ac:dyDescent="0.35">
      <c r="A11" s="23" t="s">
        <v>60</v>
      </c>
      <c r="B11" s="21" t="s">
        <v>7</v>
      </c>
      <c r="C11" s="75">
        <v>1000</v>
      </c>
      <c r="D11" s="21" t="s">
        <v>153</v>
      </c>
      <c r="F11" s="23" t="s">
        <v>60</v>
      </c>
      <c r="G11" s="44" t="s">
        <v>6</v>
      </c>
      <c r="H11" s="5">
        <v>2000</v>
      </c>
      <c r="I11" s="21" t="s">
        <v>154</v>
      </c>
      <c r="K11" s="23" t="s">
        <v>60</v>
      </c>
      <c r="L11" s="5" t="s">
        <v>7</v>
      </c>
      <c r="M11" s="5">
        <v>5000</v>
      </c>
      <c r="N11" s="61" t="s">
        <v>155</v>
      </c>
    </row>
    <row r="12" spans="1:14" hidden="1" x14ac:dyDescent="0.35">
      <c r="A12" s="23" t="s">
        <v>60</v>
      </c>
      <c r="B12" s="21" t="s">
        <v>7</v>
      </c>
      <c r="C12" s="76">
        <v>400</v>
      </c>
      <c r="D12" s="21" t="s">
        <v>156</v>
      </c>
      <c r="F12" s="23" t="s">
        <v>60</v>
      </c>
      <c r="G12" s="44" t="s">
        <v>6</v>
      </c>
      <c r="H12" s="5">
        <v>2200</v>
      </c>
      <c r="I12" s="21" t="s">
        <v>157</v>
      </c>
      <c r="K12" s="23" t="s">
        <v>60</v>
      </c>
      <c r="L12" s="5" t="s">
        <v>7</v>
      </c>
      <c r="M12" s="5">
        <v>700</v>
      </c>
      <c r="N12" s="61" t="s">
        <v>158</v>
      </c>
    </row>
    <row r="13" spans="1:14" ht="15" hidden="1" thickBot="1" x14ac:dyDescent="0.4">
      <c r="A13" s="23" t="s">
        <v>60</v>
      </c>
      <c r="B13" s="74" t="s">
        <v>7</v>
      </c>
      <c r="C13" s="75">
        <v>1400</v>
      </c>
      <c r="D13" s="21" t="s">
        <v>147</v>
      </c>
      <c r="F13" s="23" t="s">
        <v>60</v>
      </c>
      <c r="G13" s="44" t="s">
        <v>6</v>
      </c>
      <c r="H13" s="5">
        <v>700</v>
      </c>
      <c r="I13" s="21" t="s">
        <v>159</v>
      </c>
      <c r="K13" s="23" t="s">
        <v>60</v>
      </c>
      <c r="L13" s="5" t="s">
        <v>8</v>
      </c>
      <c r="M13" s="5">
        <v>300</v>
      </c>
      <c r="N13" s="62" t="s">
        <v>160</v>
      </c>
    </row>
    <row r="14" spans="1:14" x14ac:dyDescent="0.35">
      <c r="A14" s="23" t="s">
        <v>60</v>
      </c>
      <c r="B14" s="74" t="s">
        <v>8</v>
      </c>
      <c r="C14" s="75">
        <v>7000</v>
      </c>
      <c r="D14" s="21" t="s">
        <v>161</v>
      </c>
      <c r="F14" s="23" t="s">
        <v>60</v>
      </c>
      <c r="G14" s="44" t="s">
        <v>7</v>
      </c>
      <c r="H14" s="5">
        <v>1472</v>
      </c>
      <c r="I14" s="21" t="s">
        <v>152</v>
      </c>
      <c r="K14" s="23" t="s">
        <v>60</v>
      </c>
      <c r="L14" s="5" t="s">
        <v>8</v>
      </c>
      <c r="M14" s="5">
        <v>660</v>
      </c>
      <c r="N14" s="61" t="s">
        <v>162</v>
      </c>
    </row>
    <row r="15" spans="1:14" x14ac:dyDescent="0.35">
      <c r="A15" s="23" t="s">
        <v>60</v>
      </c>
      <c r="B15" s="21" t="s">
        <v>8</v>
      </c>
      <c r="C15" s="75">
        <v>2000</v>
      </c>
      <c r="D15" s="21" t="s">
        <v>145</v>
      </c>
      <c r="F15" s="23" t="s">
        <v>60</v>
      </c>
      <c r="G15" s="44" t="s">
        <v>7</v>
      </c>
      <c r="H15" s="5">
        <v>300</v>
      </c>
      <c r="I15" s="21" t="s">
        <v>163</v>
      </c>
      <c r="K15" s="23" t="s">
        <v>60</v>
      </c>
      <c r="L15" s="5" t="s">
        <v>6</v>
      </c>
      <c r="M15" s="5">
        <v>7000</v>
      </c>
      <c r="N15" s="21" t="s">
        <v>164</v>
      </c>
    </row>
    <row r="16" spans="1:14" hidden="1" x14ac:dyDescent="0.35">
      <c r="A16" s="23" t="s">
        <v>60</v>
      </c>
      <c r="B16" s="21" t="s">
        <v>7</v>
      </c>
      <c r="C16" s="77">
        <v>1750</v>
      </c>
      <c r="D16" s="21" t="s">
        <v>165</v>
      </c>
      <c r="F16" s="23" t="s">
        <v>60</v>
      </c>
      <c r="G16" s="44" t="s">
        <v>7</v>
      </c>
      <c r="H16" s="5">
        <v>5000</v>
      </c>
      <c r="I16" s="21" t="s">
        <v>155</v>
      </c>
      <c r="K16" s="23" t="s">
        <v>53</v>
      </c>
      <c r="L16" s="5" t="s">
        <v>15</v>
      </c>
      <c r="M16" s="50">
        <v>500</v>
      </c>
      <c r="N16" s="63" t="s">
        <v>100</v>
      </c>
    </row>
    <row r="17" spans="1:14" hidden="1" x14ac:dyDescent="0.35">
      <c r="A17" s="23" t="s">
        <v>60</v>
      </c>
      <c r="B17" s="21" t="s">
        <v>6</v>
      </c>
      <c r="C17" s="77">
        <v>5000</v>
      </c>
      <c r="D17" s="21" t="s">
        <v>166</v>
      </c>
      <c r="F17" s="23" t="s">
        <v>60</v>
      </c>
      <c r="G17" s="44" t="s">
        <v>7</v>
      </c>
      <c r="H17" s="5">
        <v>2000</v>
      </c>
      <c r="I17" s="21" t="s">
        <v>167</v>
      </c>
      <c r="K17" s="78"/>
      <c r="L17" s="50"/>
      <c r="M17" s="50"/>
      <c r="N17" s="74"/>
    </row>
    <row r="18" spans="1:14" hidden="1" x14ac:dyDescent="0.35">
      <c r="A18" s="23" t="s">
        <v>60</v>
      </c>
      <c r="B18" s="21" t="s">
        <v>6</v>
      </c>
      <c r="C18" s="77">
        <v>2000</v>
      </c>
      <c r="D18" s="21" t="s">
        <v>168</v>
      </c>
      <c r="F18" s="23" t="s">
        <v>60</v>
      </c>
      <c r="G18" s="44" t="s">
        <v>7</v>
      </c>
      <c r="H18" s="5">
        <v>700</v>
      </c>
      <c r="I18" s="21" t="s">
        <v>158</v>
      </c>
      <c r="K18" s="23"/>
      <c r="L18" s="5"/>
      <c r="M18" s="15"/>
      <c r="N18" s="88"/>
    </row>
    <row r="19" spans="1:14" hidden="1" x14ac:dyDescent="0.35">
      <c r="A19" s="23" t="s">
        <v>60</v>
      </c>
      <c r="B19" s="44" t="s">
        <v>6</v>
      </c>
      <c r="C19" s="5">
        <v>2000</v>
      </c>
      <c r="D19" s="21" t="s">
        <v>169</v>
      </c>
      <c r="F19" s="23" t="s">
        <v>60</v>
      </c>
      <c r="G19" s="44" t="s">
        <v>8</v>
      </c>
      <c r="H19" s="5">
        <v>300</v>
      </c>
      <c r="I19" s="21" t="s">
        <v>160</v>
      </c>
      <c r="K19" s="23"/>
      <c r="L19" s="5"/>
      <c r="M19" s="5"/>
      <c r="N19" s="21"/>
    </row>
    <row r="20" spans="1:14" hidden="1" x14ac:dyDescent="0.35">
      <c r="A20" s="23" t="s">
        <v>60</v>
      </c>
      <c r="B20" s="44" t="s">
        <v>6</v>
      </c>
      <c r="C20" s="5">
        <v>2200</v>
      </c>
      <c r="D20" s="21" t="s">
        <v>157</v>
      </c>
      <c r="F20" s="23" t="s">
        <v>60</v>
      </c>
      <c r="G20" s="44" t="s">
        <v>8</v>
      </c>
      <c r="H20" s="5">
        <v>660</v>
      </c>
      <c r="I20" s="21" t="s">
        <v>162</v>
      </c>
      <c r="K20" s="23"/>
      <c r="L20" s="5"/>
      <c r="M20" s="5"/>
      <c r="N20" s="21"/>
    </row>
    <row r="21" spans="1:14" hidden="1" x14ac:dyDescent="0.35">
      <c r="A21" s="23" t="s">
        <v>60</v>
      </c>
      <c r="B21" s="44" t="s">
        <v>6</v>
      </c>
      <c r="C21" s="5">
        <v>700</v>
      </c>
      <c r="D21" s="21" t="s">
        <v>159</v>
      </c>
      <c r="F21" s="23" t="s">
        <v>60</v>
      </c>
      <c r="G21" s="44" t="s">
        <v>8</v>
      </c>
      <c r="H21" s="5">
        <v>5000</v>
      </c>
      <c r="I21" s="21" t="s">
        <v>155</v>
      </c>
      <c r="K21" s="23"/>
      <c r="L21" s="5"/>
      <c r="M21" s="5"/>
      <c r="N21" s="21"/>
    </row>
    <row r="22" spans="1:14" hidden="1" x14ac:dyDescent="0.35">
      <c r="A22" s="23" t="s">
        <v>60</v>
      </c>
      <c r="B22" s="44" t="s">
        <v>6</v>
      </c>
      <c r="C22" s="5"/>
      <c r="D22" s="21" t="s">
        <v>170</v>
      </c>
      <c r="F22" s="23" t="s">
        <v>60</v>
      </c>
      <c r="G22" s="44" t="s">
        <v>6</v>
      </c>
      <c r="H22" s="5">
        <v>7000</v>
      </c>
      <c r="I22" s="21" t="s">
        <v>164</v>
      </c>
      <c r="K22" s="23"/>
      <c r="L22" s="5"/>
      <c r="M22" s="5"/>
      <c r="N22" s="21"/>
    </row>
    <row r="23" spans="1:14" hidden="1" x14ac:dyDescent="0.35">
      <c r="A23" s="23" t="s">
        <v>60</v>
      </c>
      <c r="B23" s="44" t="s">
        <v>7</v>
      </c>
      <c r="C23" s="5">
        <v>1472</v>
      </c>
      <c r="D23" s="21" t="s">
        <v>152</v>
      </c>
      <c r="F23" s="23" t="s">
        <v>53</v>
      </c>
      <c r="G23" s="44" t="s">
        <v>15</v>
      </c>
      <c r="H23" s="5">
        <v>500</v>
      </c>
      <c r="I23" s="21" t="s">
        <v>100</v>
      </c>
      <c r="K23" s="23"/>
      <c r="L23" s="5"/>
      <c r="M23" s="5"/>
      <c r="N23" s="21"/>
    </row>
    <row r="24" spans="1:14" hidden="1" x14ac:dyDescent="0.35">
      <c r="A24" s="23" t="s">
        <v>60</v>
      </c>
      <c r="B24" s="44" t="s">
        <v>7</v>
      </c>
      <c r="C24" s="5">
        <v>300</v>
      </c>
      <c r="D24" s="21" t="s">
        <v>163</v>
      </c>
      <c r="F24" s="78"/>
      <c r="G24" s="50"/>
      <c r="H24" s="50"/>
      <c r="I24" s="74"/>
      <c r="K24" s="23"/>
      <c r="L24" s="5"/>
      <c r="M24" s="5"/>
      <c r="N24" s="21"/>
    </row>
    <row r="25" spans="1:14" hidden="1" x14ac:dyDescent="0.35">
      <c r="A25" s="23" t="s">
        <v>60</v>
      </c>
      <c r="B25" s="44" t="s">
        <v>7</v>
      </c>
      <c r="C25" s="5">
        <v>5000</v>
      </c>
      <c r="D25" s="21" t="s">
        <v>155</v>
      </c>
      <c r="F25" s="23"/>
      <c r="G25" s="44"/>
      <c r="H25" s="5"/>
      <c r="I25" s="21"/>
      <c r="K25" s="23"/>
      <c r="L25" s="15"/>
      <c r="M25" s="5"/>
      <c r="N25" s="21"/>
    </row>
    <row r="26" spans="1:14" hidden="1" x14ac:dyDescent="0.35">
      <c r="A26" s="23" t="s">
        <v>60</v>
      </c>
      <c r="B26" s="44" t="s">
        <v>7</v>
      </c>
      <c r="C26" s="5">
        <v>2000</v>
      </c>
      <c r="D26" s="21" t="s">
        <v>167</v>
      </c>
      <c r="F26" s="23"/>
      <c r="G26" s="44"/>
      <c r="H26" s="5"/>
      <c r="I26" s="21"/>
      <c r="K26" s="23"/>
      <c r="L26" s="15"/>
      <c r="M26" s="5"/>
      <c r="N26" s="21"/>
    </row>
    <row r="27" spans="1:14" hidden="1" x14ac:dyDescent="0.35">
      <c r="A27" s="23" t="s">
        <v>60</v>
      </c>
      <c r="B27" s="44" t="s">
        <v>7</v>
      </c>
      <c r="C27" s="5">
        <v>700</v>
      </c>
      <c r="D27" s="21" t="s">
        <v>158</v>
      </c>
      <c r="F27" s="23"/>
      <c r="G27" s="5"/>
      <c r="H27" s="5"/>
      <c r="I27" s="21"/>
      <c r="K27" s="23"/>
      <c r="L27" s="5"/>
      <c r="M27" s="5"/>
      <c r="N27" s="21"/>
    </row>
    <row r="28" spans="1:14" x14ac:dyDescent="0.35">
      <c r="A28" s="23" t="s">
        <v>60</v>
      </c>
      <c r="B28" s="44" t="s">
        <v>8</v>
      </c>
      <c r="C28" s="5">
        <v>300</v>
      </c>
      <c r="D28" s="21" t="s">
        <v>160</v>
      </c>
      <c r="F28" s="23"/>
      <c r="G28" s="5"/>
      <c r="H28" s="5"/>
      <c r="I28" s="21"/>
      <c r="K28" s="23"/>
      <c r="L28" s="5"/>
      <c r="M28" s="5"/>
      <c r="N28" s="21"/>
    </row>
    <row r="29" spans="1:14" x14ac:dyDescent="0.35">
      <c r="A29" s="23" t="s">
        <v>60</v>
      </c>
      <c r="B29" s="44" t="s">
        <v>8</v>
      </c>
      <c r="C29" s="5">
        <v>660</v>
      </c>
      <c r="D29" s="21" t="s">
        <v>162</v>
      </c>
      <c r="F29" s="23"/>
      <c r="G29" s="5"/>
      <c r="H29" s="5"/>
      <c r="I29" s="21"/>
      <c r="K29" s="23"/>
      <c r="L29" s="5"/>
      <c r="M29" s="5"/>
      <c r="N29" s="21"/>
    </row>
    <row r="30" spans="1:14" x14ac:dyDescent="0.35">
      <c r="A30" s="23" t="s">
        <v>60</v>
      </c>
      <c r="B30" s="44" t="s">
        <v>8</v>
      </c>
      <c r="C30" s="5">
        <v>5000</v>
      </c>
      <c r="D30" s="21" t="s">
        <v>155</v>
      </c>
      <c r="F30" s="23"/>
      <c r="G30" s="5"/>
      <c r="H30" s="5"/>
      <c r="I30" s="21"/>
      <c r="K30" s="23"/>
      <c r="L30" s="5"/>
      <c r="M30" s="5"/>
      <c r="N30" s="21"/>
    </row>
    <row r="31" spans="1:14" hidden="1" x14ac:dyDescent="0.35">
      <c r="A31" s="23" t="s">
        <v>60</v>
      </c>
      <c r="B31" s="44" t="s">
        <v>6</v>
      </c>
      <c r="C31" s="5">
        <v>7000</v>
      </c>
      <c r="D31" s="21" t="s">
        <v>164</v>
      </c>
      <c r="F31" s="23"/>
      <c r="G31" s="5"/>
      <c r="H31" s="5"/>
      <c r="I31" s="21"/>
      <c r="K31" s="23"/>
      <c r="L31" s="5"/>
      <c r="M31" s="5"/>
      <c r="N31" s="21"/>
    </row>
    <row r="32" spans="1:14" hidden="1" x14ac:dyDescent="0.35">
      <c r="A32" s="23" t="s">
        <v>53</v>
      </c>
      <c r="B32" s="44" t="s">
        <v>15</v>
      </c>
      <c r="C32" s="5">
        <v>500</v>
      </c>
      <c r="D32" s="21" t="s">
        <v>100</v>
      </c>
      <c r="F32" s="23"/>
      <c r="G32" s="5"/>
      <c r="H32" s="5"/>
      <c r="I32" s="21"/>
      <c r="K32" s="23"/>
      <c r="L32" s="5"/>
      <c r="M32" s="5"/>
      <c r="N32" s="21"/>
    </row>
    <row r="33" spans="1:14" hidden="1" x14ac:dyDescent="0.35">
      <c r="A33" s="23" t="s">
        <v>53</v>
      </c>
      <c r="B33" s="44" t="s">
        <v>15</v>
      </c>
      <c r="C33" s="5">
        <v>400</v>
      </c>
      <c r="D33" s="21" t="s">
        <v>103</v>
      </c>
      <c r="F33" s="23"/>
      <c r="G33" s="5"/>
      <c r="H33" s="5"/>
      <c r="I33" s="21"/>
      <c r="K33" s="78"/>
      <c r="L33" s="50"/>
      <c r="M33" s="50"/>
      <c r="N33" s="74"/>
    </row>
    <row r="34" spans="1:14" hidden="1" x14ac:dyDescent="0.35">
      <c r="A34" s="23"/>
      <c r="B34" s="44"/>
      <c r="C34" s="5"/>
      <c r="D34" s="21"/>
      <c r="F34" s="23"/>
      <c r="G34" s="5"/>
      <c r="H34" s="5"/>
      <c r="I34" s="21"/>
      <c r="K34" s="23"/>
      <c r="L34" s="5"/>
      <c r="M34" s="5"/>
      <c r="N34" s="21"/>
    </row>
    <row r="35" spans="1:14" hidden="1" x14ac:dyDescent="0.35">
      <c r="A35" s="23"/>
      <c r="B35" s="44"/>
      <c r="C35" s="5"/>
      <c r="D35" s="21"/>
      <c r="F35" s="23"/>
      <c r="G35" s="5"/>
      <c r="H35" s="5"/>
      <c r="I35" s="21"/>
      <c r="K35" s="23"/>
      <c r="L35" s="5"/>
      <c r="M35" s="5"/>
      <c r="N35" s="21"/>
    </row>
    <row r="36" spans="1:14" hidden="1" x14ac:dyDescent="0.35">
      <c r="A36" s="23"/>
      <c r="B36" s="44"/>
      <c r="C36" s="5"/>
      <c r="D36" s="21"/>
      <c r="F36" s="23"/>
      <c r="G36" s="5"/>
      <c r="H36" s="5"/>
      <c r="I36" s="21"/>
      <c r="K36" s="23"/>
      <c r="L36" s="5"/>
      <c r="M36" s="5"/>
      <c r="N36" s="21"/>
    </row>
    <row r="37" spans="1:14" hidden="1" x14ac:dyDescent="0.35">
      <c r="A37" s="23"/>
      <c r="B37" s="44"/>
      <c r="C37" s="5"/>
      <c r="D37" s="21"/>
      <c r="F37" s="23"/>
      <c r="G37" s="15"/>
      <c r="H37" s="5"/>
      <c r="I37" s="21"/>
      <c r="K37" s="23"/>
      <c r="L37" s="15"/>
      <c r="M37" s="5"/>
      <c r="N37" s="21"/>
    </row>
    <row r="38" spans="1:14" hidden="1" x14ac:dyDescent="0.35">
      <c r="A38" s="23"/>
      <c r="B38" s="44"/>
      <c r="C38" s="5"/>
      <c r="D38" s="21"/>
      <c r="F38" s="23"/>
      <c r="G38" s="15"/>
      <c r="H38" s="5"/>
      <c r="I38" s="21"/>
      <c r="K38" s="23"/>
      <c r="L38" s="15"/>
      <c r="M38" s="5"/>
      <c r="N38" s="21"/>
    </row>
    <row r="39" spans="1:14" hidden="1" x14ac:dyDescent="0.35">
      <c r="A39" s="23"/>
      <c r="B39" s="5"/>
      <c r="C39" s="5"/>
      <c r="D39" s="21"/>
      <c r="F39" s="23"/>
      <c r="G39" s="5"/>
      <c r="H39" s="5"/>
      <c r="I39" s="21"/>
      <c r="K39" s="23"/>
      <c r="L39" s="5"/>
      <c r="M39" s="5"/>
      <c r="N39" s="21"/>
    </row>
    <row r="40" spans="1:14" hidden="1" x14ac:dyDescent="0.35">
      <c r="A40" s="23"/>
      <c r="B40" s="5"/>
      <c r="C40" s="5"/>
      <c r="D40" s="21"/>
      <c r="F40" s="23"/>
      <c r="G40" s="5"/>
      <c r="H40" s="5"/>
      <c r="I40" s="21"/>
      <c r="K40" s="23"/>
      <c r="L40" s="5"/>
      <c r="M40" s="5"/>
      <c r="N40" s="21"/>
    </row>
    <row r="41" spans="1:14" hidden="1" x14ac:dyDescent="0.35">
      <c r="A41" s="23"/>
      <c r="B41" s="5"/>
      <c r="C41" s="5"/>
      <c r="D41" s="21"/>
      <c r="F41" s="23"/>
      <c r="G41" s="5"/>
      <c r="H41" s="5"/>
      <c r="I41" s="21"/>
      <c r="K41" s="23"/>
      <c r="L41" s="5"/>
      <c r="M41" s="5"/>
      <c r="N41" s="21"/>
    </row>
    <row r="42" spans="1:14" hidden="1" x14ac:dyDescent="0.35">
      <c r="A42" s="23"/>
      <c r="B42" s="5"/>
      <c r="C42" s="5"/>
      <c r="D42" s="21"/>
      <c r="F42" s="23"/>
      <c r="G42" s="5"/>
      <c r="H42" s="5"/>
      <c r="I42" s="21"/>
      <c r="K42" s="23"/>
      <c r="L42" s="5"/>
      <c r="M42" s="5"/>
      <c r="N42" s="21"/>
    </row>
    <row r="43" spans="1:14" hidden="1" x14ac:dyDescent="0.35">
      <c r="A43" s="23"/>
      <c r="B43" s="5"/>
      <c r="C43" s="5"/>
      <c r="D43" s="21"/>
      <c r="F43" s="23"/>
      <c r="G43" s="5"/>
      <c r="H43" s="5"/>
      <c r="I43" s="21"/>
      <c r="K43" s="23"/>
      <c r="L43" s="5"/>
      <c r="M43" s="5"/>
      <c r="N43" s="21"/>
    </row>
    <row r="44" spans="1:14" hidden="1" x14ac:dyDescent="0.35">
      <c r="A44" s="23"/>
      <c r="B44" s="5"/>
      <c r="C44" s="5"/>
      <c r="D44" s="21"/>
      <c r="F44" s="23"/>
      <c r="G44" s="5"/>
      <c r="H44" s="5"/>
      <c r="I44" s="21"/>
      <c r="K44" s="23"/>
      <c r="L44" s="5"/>
      <c r="M44" s="5"/>
      <c r="N44" s="21"/>
    </row>
    <row r="45" spans="1:14" hidden="1" x14ac:dyDescent="0.35">
      <c r="A45" s="23"/>
      <c r="B45" s="5"/>
      <c r="C45" s="5"/>
      <c r="D45" s="21"/>
      <c r="F45" s="23"/>
      <c r="G45" s="5"/>
      <c r="H45" s="5"/>
      <c r="I45" s="21"/>
      <c r="K45" s="23"/>
      <c r="L45" s="5"/>
      <c r="M45" s="5"/>
      <c r="N45" s="21"/>
    </row>
    <row r="46" spans="1:14" hidden="1" x14ac:dyDescent="0.35">
      <c r="A46" s="23"/>
      <c r="B46" s="5"/>
      <c r="C46" s="5"/>
      <c r="D46" s="21"/>
      <c r="F46" s="23"/>
      <c r="G46" s="5"/>
      <c r="H46" s="5"/>
      <c r="I46" s="21"/>
      <c r="K46" s="23"/>
      <c r="L46" s="5"/>
      <c r="M46" s="5"/>
      <c r="N46" s="21"/>
    </row>
    <row r="47" spans="1:14" hidden="1" x14ac:dyDescent="0.35">
      <c r="A47" s="23"/>
      <c r="B47" s="5"/>
      <c r="C47" s="5"/>
      <c r="D47" s="21"/>
      <c r="F47" s="23"/>
      <c r="G47" s="5"/>
      <c r="H47" s="5"/>
      <c r="I47" s="21"/>
      <c r="K47" s="23"/>
      <c r="L47" s="5"/>
      <c r="M47" s="5"/>
      <c r="N47" s="21"/>
    </row>
    <row r="48" spans="1:14" hidden="1" x14ac:dyDescent="0.35">
      <c r="A48" s="23"/>
      <c r="B48" s="5"/>
      <c r="C48" s="5"/>
      <c r="D48" s="21"/>
      <c r="F48" s="23"/>
      <c r="G48" s="5"/>
      <c r="H48" s="5"/>
      <c r="I48" s="21"/>
      <c r="K48" s="23"/>
      <c r="L48" s="5"/>
      <c r="M48" s="5"/>
      <c r="N48" s="21"/>
    </row>
    <row r="49" spans="1:14" hidden="1" x14ac:dyDescent="0.35">
      <c r="A49" s="23"/>
      <c r="B49" s="15"/>
      <c r="C49" s="5"/>
      <c r="D49" s="21"/>
      <c r="F49" s="23"/>
      <c r="G49" s="15"/>
      <c r="H49" s="5"/>
      <c r="I49" s="21"/>
      <c r="K49" s="23"/>
      <c r="L49" s="15"/>
      <c r="M49" s="5"/>
      <c r="N49" s="21"/>
    </row>
    <row r="50" spans="1:14" hidden="1" x14ac:dyDescent="0.35">
      <c r="A50" s="23"/>
      <c r="B50" s="15"/>
      <c r="C50" s="5"/>
      <c r="D50" s="21"/>
      <c r="F50" s="23"/>
      <c r="G50" s="15"/>
      <c r="H50" s="5"/>
      <c r="I50" s="21"/>
      <c r="K50" s="23"/>
      <c r="L50" s="15"/>
      <c r="M50" s="5"/>
      <c r="N50" s="21"/>
    </row>
    <row r="51" spans="1:14" hidden="1" x14ac:dyDescent="0.35">
      <c r="A51" s="23"/>
      <c r="B51" s="5"/>
      <c r="C51" s="5"/>
      <c r="D51" s="21"/>
      <c r="F51" s="23"/>
      <c r="G51" s="5"/>
      <c r="H51" s="5"/>
      <c r="I51" s="21"/>
      <c r="K51" s="23"/>
      <c r="L51" s="5"/>
      <c r="M51" s="5"/>
      <c r="N51" s="21"/>
    </row>
    <row r="52" spans="1:14" hidden="1" x14ac:dyDescent="0.35">
      <c r="A52" s="23"/>
      <c r="B52" s="5"/>
      <c r="C52" s="5"/>
      <c r="D52" s="21"/>
      <c r="F52" s="23"/>
      <c r="G52" s="5"/>
      <c r="H52" s="5"/>
      <c r="I52" s="21"/>
      <c r="K52" s="23"/>
      <c r="L52" s="5"/>
      <c r="M52" s="5"/>
      <c r="N52" s="21"/>
    </row>
    <row r="53" spans="1:14" hidden="1" x14ac:dyDescent="0.35">
      <c r="A53" s="23"/>
      <c r="B53" s="5"/>
      <c r="C53" s="5"/>
      <c r="D53" s="21"/>
      <c r="F53" s="23"/>
      <c r="G53" s="5"/>
      <c r="H53" s="5"/>
      <c r="I53" s="21"/>
      <c r="K53" s="23"/>
      <c r="L53" s="5"/>
      <c r="M53" s="5"/>
      <c r="N53" s="21"/>
    </row>
    <row r="54" spans="1:14" hidden="1" x14ac:dyDescent="0.35">
      <c r="A54" s="23"/>
      <c r="B54" s="5"/>
      <c r="C54" s="5"/>
      <c r="D54" s="21"/>
      <c r="F54" s="23"/>
      <c r="G54" s="5"/>
      <c r="H54" s="5"/>
      <c r="I54" s="21"/>
      <c r="K54" s="23"/>
      <c r="L54" s="5"/>
      <c r="M54" s="5"/>
      <c r="N54" s="21"/>
    </row>
    <row r="55" spans="1:14" hidden="1" x14ac:dyDescent="0.35">
      <c r="A55" s="23"/>
      <c r="B55" s="5"/>
      <c r="C55" s="5"/>
      <c r="D55" s="21"/>
      <c r="F55" s="23"/>
      <c r="G55" s="5"/>
      <c r="H55" s="5"/>
      <c r="I55" s="21"/>
      <c r="K55" s="23"/>
      <c r="L55" s="5"/>
      <c r="M55" s="5"/>
      <c r="N55" s="21"/>
    </row>
    <row r="56" spans="1:14" hidden="1" x14ac:dyDescent="0.35">
      <c r="A56" s="23"/>
      <c r="B56" s="5"/>
      <c r="C56" s="5"/>
      <c r="D56" s="21"/>
      <c r="F56" s="23"/>
      <c r="G56" s="5"/>
      <c r="H56" s="5"/>
      <c r="I56" s="21"/>
      <c r="K56" s="23"/>
      <c r="L56" s="5"/>
      <c r="M56" s="5"/>
      <c r="N56" s="21"/>
    </row>
    <row r="57" spans="1:14" hidden="1" x14ac:dyDescent="0.35">
      <c r="A57" s="23"/>
      <c r="B57" s="5"/>
      <c r="C57" s="5"/>
      <c r="D57" s="21"/>
      <c r="F57" s="23"/>
      <c r="G57" s="5"/>
      <c r="H57" s="5"/>
      <c r="I57" s="21"/>
      <c r="K57" s="23"/>
      <c r="L57" s="5"/>
      <c r="M57" s="5"/>
      <c r="N57" s="21"/>
    </row>
    <row r="58" spans="1:14" hidden="1" x14ac:dyDescent="0.35">
      <c r="A58" s="23"/>
      <c r="B58" s="5"/>
      <c r="C58" s="5"/>
      <c r="D58" s="21"/>
      <c r="F58" s="23"/>
      <c r="G58" s="5"/>
      <c r="H58" s="5"/>
      <c r="I58" s="21"/>
      <c r="K58" s="23"/>
      <c r="L58" s="5"/>
      <c r="M58" s="5"/>
      <c r="N58" s="21"/>
    </row>
    <row r="59" spans="1:14" hidden="1" x14ac:dyDescent="0.35">
      <c r="A59" s="23"/>
      <c r="B59" s="5"/>
      <c r="C59" s="5"/>
      <c r="D59" s="21"/>
      <c r="F59" s="23"/>
      <c r="G59" s="5"/>
      <c r="H59" s="5"/>
      <c r="I59" s="21"/>
      <c r="K59" s="23"/>
      <c r="L59" s="5"/>
      <c r="M59" s="5"/>
      <c r="N59" s="21"/>
    </row>
    <row r="60" spans="1:14" hidden="1" x14ac:dyDescent="0.35">
      <c r="A60" s="23"/>
      <c r="B60" s="5"/>
      <c r="C60" s="5"/>
      <c r="D60" s="21"/>
      <c r="F60" s="23"/>
      <c r="G60" s="5"/>
      <c r="H60" s="5"/>
      <c r="I60" s="21"/>
      <c r="K60" s="23"/>
      <c r="L60" s="5"/>
      <c r="M60" s="5"/>
      <c r="N60" s="21"/>
    </row>
    <row r="61" spans="1:14" hidden="1" x14ac:dyDescent="0.35">
      <c r="A61" s="23"/>
      <c r="B61" s="15"/>
      <c r="C61" s="5"/>
      <c r="D61" s="21"/>
      <c r="F61" s="23"/>
      <c r="G61" s="15"/>
      <c r="H61" s="5"/>
      <c r="I61" s="21"/>
      <c r="K61" s="23"/>
      <c r="L61" s="15"/>
      <c r="M61" s="5"/>
      <c r="N61" s="21"/>
    </row>
    <row r="62" spans="1:14" hidden="1" x14ac:dyDescent="0.35">
      <c r="A62" s="23"/>
      <c r="B62" s="15"/>
      <c r="C62" s="5"/>
      <c r="D62" s="21"/>
      <c r="F62" s="23"/>
      <c r="G62" s="15"/>
      <c r="H62" s="5"/>
      <c r="I62" s="21"/>
      <c r="K62" s="23"/>
      <c r="L62" s="15"/>
      <c r="M62" s="5"/>
      <c r="N62" s="21"/>
    </row>
    <row r="63" spans="1:14" hidden="1" x14ac:dyDescent="0.35">
      <c r="A63" s="23"/>
      <c r="B63" s="5"/>
      <c r="C63" s="5"/>
      <c r="D63" s="21"/>
      <c r="F63" s="23"/>
      <c r="G63" s="5"/>
      <c r="H63" s="5"/>
      <c r="I63" s="21"/>
      <c r="K63" s="23"/>
      <c r="L63" s="5"/>
      <c r="M63" s="5"/>
      <c r="N63" s="21"/>
    </row>
    <row r="64" spans="1:14" hidden="1" x14ac:dyDescent="0.35">
      <c r="A64" s="23"/>
      <c r="B64" s="5"/>
      <c r="C64" s="5"/>
      <c r="D64" s="21"/>
      <c r="F64" s="23"/>
      <c r="G64" s="5"/>
      <c r="H64" s="5"/>
      <c r="I64" s="21"/>
      <c r="K64" s="23"/>
      <c r="L64" s="5"/>
      <c r="M64" s="5"/>
      <c r="N64" s="21"/>
    </row>
    <row r="65" spans="1:14" hidden="1" x14ac:dyDescent="0.35">
      <c r="A65" s="23"/>
      <c r="B65" s="5"/>
      <c r="C65" s="5"/>
      <c r="D65" s="21"/>
      <c r="F65" s="23"/>
      <c r="G65" s="5"/>
      <c r="H65" s="5"/>
      <c r="I65" s="21"/>
      <c r="K65" s="23"/>
      <c r="L65" s="5"/>
      <c r="M65" s="5"/>
      <c r="N65" s="21"/>
    </row>
    <row r="66" spans="1:14" hidden="1" x14ac:dyDescent="0.35">
      <c r="A66" s="23"/>
      <c r="B66" s="5"/>
      <c r="C66" s="5"/>
      <c r="D66" s="21"/>
      <c r="F66" s="23"/>
      <c r="G66" s="5"/>
      <c r="H66" s="5"/>
      <c r="I66" s="21"/>
      <c r="K66" s="23"/>
      <c r="L66" s="5"/>
      <c r="M66" s="5"/>
      <c r="N66" s="21"/>
    </row>
    <row r="67" spans="1:14" hidden="1" x14ac:dyDescent="0.35">
      <c r="A67" s="23"/>
      <c r="B67" s="5"/>
      <c r="C67" s="5"/>
      <c r="D67" s="21"/>
      <c r="F67" s="23"/>
      <c r="G67" s="5"/>
      <c r="H67" s="5"/>
      <c r="I67" s="21"/>
      <c r="K67" s="23"/>
      <c r="L67" s="5"/>
      <c r="M67" s="5"/>
      <c r="N67" s="21"/>
    </row>
    <row r="68" spans="1:14" hidden="1" x14ac:dyDescent="0.35">
      <c r="A68" s="23"/>
      <c r="B68" s="5"/>
      <c r="C68" s="5"/>
      <c r="D68" s="21"/>
      <c r="F68" s="23"/>
      <c r="G68" s="5"/>
      <c r="H68" s="5"/>
      <c r="I68" s="21"/>
      <c r="K68" s="23"/>
      <c r="L68" s="5"/>
      <c r="M68" s="5"/>
      <c r="N68" s="21"/>
    </row>
    <row r="69" spans="1:14" hidden="1" x14ac:dyDescent="0.35">
      <c r="A69" s="23"/>
      <c r="B69" s="5"/>
      <c r="C69" s="5"/>
      <c r="D69" s="21"/>
      <c r="F69" s="23"/>
      <c r="G69" s="5"/>
      <c r="H69" s="5"/>
      <c r="I69" s="21"/>
      <c r="K69" s="23"/>
      <c r="L69" s="5"/>
      <c r="M69" s="5"/>
      <c r="N69" s="21"/>
    </row>
    <row r="70" spans="1:14" hidden="1" x14ac:dyDescent="0.35">
      <c r="A70" s="23"/>
      <c r="B70" s="5"/>
      <c r="C70" s="5"/>
      <c r="D70" s="21"/>
      <c r="F70" s="23"/>
      <c r="G70" s="5"/>
      <c r="H70" s="5"/>
      <c r="I70" s="21"/>
      <c r="K70" s="23"/>
      <c r="L70" s="5"/>
      <c r="M70" s="5"/>
      <c r="N70" s="21"/>
    </row>
    <row r="71" spans="1:14" hidden="1" x14ac:dyDescent="0.35">
      <c r="A71" s="23"/>
      <c r="B71" s="5"/>
      <c r="C71" s="5"/>
      <c r="D71" s="21"/>
      <c r="F71" s="23"/>
      <c r="G71" s="5"/>
      <c r="H71" s="5"/>
      <c r="I71" s="21"/>
      <c r="K71" s="23"/>
      <c r="L71" s="5"/>
      <c r="M71" s="5"/>
      <c r="N71" s="21"/>
    </row>
    <row r="72" spans="1:14" hidden="1" x14ac:dyDescent="0.35">
      <c r="A72" s="23"/>
      <c r="B72" s="5"/>
      <c r="C72" s="5"/>
      <c r="D72" s="21"/>
      <c r="F72" s="23"/>
      <c r="G72" s="5"/>
      <c r="H72" s="5"/>
      <c r="I72" s="21"/>
      <c r="K72" s="23"/>
      <c r="L72" s="5"/>
      <c r="M72" s="5"/>
      <c r="N72" s="21"/>
    </row>
    <row r="73" spans="1:14" hidden="1" x14ac:dyDescent="0.35">
      <c r="A73" s="23"/>
      <c r="B73" s="15"/>
      <c r="C73" s="5"/>
      <c r="D73" s="21"/>
      <c r="F73" s="23"/>
      <c r="G73" s="15"/>
      <c r="H73" s="5"/>
      <c r="I73" s="21"/>
      <c r="K73" s="23"/>
      <c r="L73" s="15"/>
      <c r="M73" s="5"/>
      <c r="N73" s="21"/>
    </row>
    <row r="74" spans="1:14" hidden="1" x14ac:dyDescent="0.35">
      <c r="A74" s="23"/>
      <c r="B74" s="15"/>
      <c r="C74" s="5"/>
      <c r="D74" s="21"/>
      <c r="F74" s="23"/>
      <c r="G74" s="15"/>
      <c r="H74" s="5"/>
      <c r="I74" s="21"/>
      <c r="K74" s="23"/>
      <c r="L74" s="15"/>
      <c r="M74" s="5"/>
      <c r="N74" s="21"/>
    </row>
    <row r="75" spans="1:14" hidden="1" x14ac:dyDescent="0.35">
      <c r="A75" s="23"/>
      <c r="B75" s="5"/>
      <c r="C75" s="5"/>
      <c r="D75" s="21"/>
      <c r="F75" s="23"/>
      <c r="G75" s="5"/>
      <c r="H75" s="5"/>
      <c r="I75" s="21"/>
      <c r="K75" s="23"/>
      <c r="L75" s="5"/>
      <c r="M75" s="5"/>
      <c r="N75" s="21"/>
    </row>
    <row r="76" spans="1:14" hidden="1" x14ac:dyDescent="0.35">
      <c r="A76" s="23"/>
      <c r="B76" s="5"/>
      <c r="C76" s="5"/>
      <c r="D76" s="21"/>
      <c r="F76" s="23"/>
      <c r="G76" s="5"/>
      <c r="H76" s="5"/>
      <c r="I76" s="21"/>
      <c r="K76" s="23"/>
      <c r="L76" s="5"/>
      <c r="M76" s="5"/>
      <c r="N76" s="21"/>
    </row>
    <row r="77" spans="1:14" hidden="1" x14ac:dyDescent="0.35">
      <c r="A77" s="23"/>
      <c r="B77" s="5"/>
      <c r="C77" s="5"/>
      <c r="D77" s="21"/>
      <c r="F77" s="23"/>
      <c r="G77" s="5"/>
      <c r="H77" s="5"/>
      <c r="I77" s="21"/>
      <c r="K77" s="23"/>
      <c r="L77" s="5"/>
      <c r="M77" s="5"/>
      <c r="N77" s="21"/>
    </row>
    <row r="78" spans="1:14" hidden="1" x14ac:dyDescent="0.35">
      <c r="A78" s="23"/>
      <c r="B78" s="5"/>
      <c r="C78" s="5"/>
      <c r="D78" s="21"/>
      <c r="F78" s="23"/>
      <c r="G78" s="5"/>
      <c r="H78" s="5"/>
      <c r="I78" s="21"/>
      <c r="K78" s="23"/>
      <c r="L78" s="5"/>
      <c r="M78" s="5"/>
      <c r="N78" s="21"/>
    </row>
    <row r="79" spans="1:14" hidden="1" x14ac:dyDescent="0.35">
      <c r="A79" s="23"/>
      <c r="B79" s="5"/>
      <c r="C79" s="5"/>
      <c r="D79" s="21"/>
      <c r="F79" s="23"/>
      <c r="G79" s="5"/>
      <c r="H79" s="5"/>
      <c r="I79" s="21"/>
      <c r="K79" s="23"/>
      <c r="L79" s="5"/>
      <c r="M79" s="5"/>
      <c r="N79" s="21"/>
    </row>
    <row r="80" spans="1:14" hidden="1" x14ac:dyDescent="0.35">
      <c r="A80" s="23"/>
      <c r="B80" s="5"/>
      <c r="C80" s="5"/>
      <c r="D80" s="21"/>
      <c r="F80" s="23"/>
      <c r="G80" s="5"/>
      <c r="H80" s="5"/>
      <c r="I80" s="21"/>
      <c r="K80" s="23"/>
      <c r="L80" s="5"/>
      <c r="M80" s="5"/>
      <c r="N80" s="21"/>
    </row>
    <row r="81" spans="1:14" hidden="1" x14ac:dyDescent="0.35">
      <c r="A81" s="23"/>
      <c r="B81" s="5"/>
      <c r="C81" s="5"/>
      <c r="D81" s="21"/>
      <c r="F81" s="23"/>
      <c r="G81" s="5"/>
      <c r="H81" s="5"/>
      <c r="I81" s="21"/>
      <c r="K81" s="23"/>
      <c r="L81" s="5"/>
      <c r="M81" s="5"/>
      <c r="N81" s="21"/>
    </row>
    <row r="82" spans="1:14" hidden="1" x14ac:dyDescent="0.35">
      <c r="A82" s="23"/>
      <c r="B82" s="5"/>
      <c r="C82" s="5"/>
      <c r="D82" s="21"/>
      <c r="F82" s="23"/>
      <c r="G82" s="5"/>
      <c r="H82" s="5"/>
      <c r="I82" s="21"/>
      <c r="K82" s="23"/>
      <c r="L82" s="5"/>
      <c r="M82" s="5"/>
      <c r="N82" s="21"/>
    </row>
    <row r="83" spans="1:14" hidden="1" x14ac:dyDescent="0.35">
      <c r="A83" s="23"/>
      <c r="B83" s="5"/>
      <c r="C83" s="5"/>
      <c r="D83" s="21"/>
      <c r="F83" s="23"/>
      <c r="G83" s="5"/>
      <c r="H83" s="5"/>
      <c r="I83" s="21"/>
      <c r="K83" s="23"/>
      <c r="L83" s="5"/>
      <c r="M83" s="5"/>
      <c r="N83" s="21"/>
    </row>
    <row r="84" spans="1:14" hidden="1" x14ac:dyDescent="0.35">
      <c r="A84" s="23"/>
      <c r="B84" s="5"/>
      <c r="C84" s="5"/>
      <c r="D84" s="21"/>
      <c r="F84" s="23"/>
      <c r="G84" s="5"/>
      <c r="H84" s="5"/>
      <c r="I84" s="21"/>
      <c r="K84" s="23"/>
      <c r="L84" s="5"/>
      <c r="M84" s="5"/>
      <c r="N84" s="21"/>
    </row>
    <row r="85" spans="1:14" hidden="1" x14ac:dyDescent="0.35">
      <c r="A85" s="23"/>
      <c r="B85" s="15"/>
      <c r="C85" s="5"/>
      <c r="D85" s="21"/>
      <c r="F85" s="23"/>
      <c r="G85" s="15"/>
      <c r="H85" s="5"/>
      <c r="I85" s="21"/>
      <c r="K85" s="23"/>
      <c r="L85" s="15"/>
      <c r="M85" s="5"/>
      <c r="N85" s="21"/>
    </row>
    <row r="86" spans="1:14" hidden="1" x14ac:dyDescent="0.35">
      <c r="A86" s="23"/>
      <c r="B86" s="15"/>
      <c r="C86" s="5"/>
      <c r="D86" s="21"/>
      <c r="F86" s="23"/>
      <c r="G86" s="15"/>
      <c r="H86" s="5"/>
      <c r="I86" s="21"/>
      <c r="K86" s="23"/>
      <c r="L86" s="15"/>
      <c r="M86" s="5"/>
      <c r="N86" s="21"/>
    </row>
    <row r="87" spans="1:14" hidden="1" x14ac:dyDescent="0.35">
      <c r="A87" s="23"/>
      <c r="B87" s="5"/>
      <c r="C87" s="5"/>
      <c r="D87" s="21"/>
      <c r="F87" s="23"/>
      <c r="G87" s="5"/>
      <c r="H87" s="5"/>
      <c r="I87" s="21"/>
      <c r="K87" s="23"/>
      <c r="L87" s="5"/>
      <c r="M87" s="5"/>
      <c r="N87" s="21"/>
    </row>
    <row r="88" spans="1:14" hidden="1" x14ac:dyDescent="0.35">
      <c r="A88" s="23"/>
      <c r="B88" s="5"/>
      <c r="C88" s="5"/>
      <c r="D88" s="21"/>
      <c r="F88" s="23"/>
      <c r="G88" s="5"/>
      <c r="H88" s="5"/>
      <c r="I88" s="21"/>
      <c r="K88" s="23"/>
      <c r="L88" s="5"/>
      <c r="M88" s="5"/>
      <c r="N88" s="21"/>
    </row>
    <row r="89" spans="1:14" hidden="1" x14ac:dyDescent="0.35">
      <c r="A89" s="23"/>
      <c r="B89" s="5"/>
      <c r="C89" s="5"/>
      <c r="D89" s="21"/>
      <c r="F89" s="23"/>
      <c r="G89" s="5"/>
      <c r="H89" s="5"/>
      <c r="I89" s="21"/>
      <c r="K89" s="23"/>
      <c r="L89" s="5"/>
      <c r="M89" s="5"/>
      <c r="N89" s="21"/>
    </row>
    <row r="90" spans="1:14" hidden="1" x14ac:dyDescent="0.35">
      <c r="A90" s="23"/>
      <c r="B90" s="5"/>
      <c r="C90" s="5"/>
      <c r="D90" s="21"/>
      <c r="F90" s="23"/>
      <c r="G90" s="5"/>
      <c r="H90" s="5"/>
      <c r="I90" s="21"/>
      <c r="K90" s="23"/>
      <c r="L90" s="5"/>
      <c r="M90" s="5"/>
      <c r="N90" s="21"/>
    </row>
    <row r="91" spans="1:14" hidden="1" x14ac:dyDescent="0.35">
      <c r="A91" s="23"/>
      <c r="B91" s="5"/>
      <c r="C91" s="5"/>
      <c r="D91" s="21"/>
      <c r="F91" s="23"/>
      <c r="G91" s="5"/>
      <c r="H91" s="5"/>
      <c r="I91" s="21"/>
      <c r="K91" s="23"/>
      <c r="L91" s="5"/>
      <c r="M91" s="5"/>
      <c r="N91" s="21"/>
    </row>
    <row r="92" spans="1:14" hidden="1" x14ac:dyDescent="0.35">
      <c r="A92" s="23"/>
      <c r="B92" s="5"/>
      <c r="C92" s="5"/>
      <c r="D92" s="21"/>
      <c r="F92" s="23"/>
      <c r="G92" s="5"/>
      <c r="H92" s="5"/>
      <c r="I92" s="21"/>
      <c r="K92" s="23"/>
      <c r="L92" s="5"/>
      <c r="M92" s="5"/>
      <c r="N92" s="21"/>
    </row>
    <row r="93" spans="1:14" hidden="1" x14ac:dyDescent="0.35">
      <c r="A93" s="23"/>
      <c r="B93" s="5"/>
      <c r="C93" s="5"/>
      <c r="D93" s="21"/>
      <c r="F93" s="23"/>
      <c r="G93" s="5"/>
      <c r="H93" s="5"/>
      <c r="I93" s="21"/>
      <c r="K93" s="23"/>
      <c r="L93" s="5"/>
      <c r="M93" s="5"/>
      <c r="N93" s="21"/>
    </row>
    <row r="94" spans="1:14" hidden="1" x14ac:dyDescent="0.35">
      <c r="A94" s="23"/>
      <c r="B94" s="5"/>
      <c r="C94" s="5"/>
      <c r="D94" s="21"/>
      <c r="F94" s="23"/>
      <c r="G94" s="5"/>
      <c r="H94" s="5"/>
      <c r="I94" s="21"/>
      <c r="K94" s="23"/>
      <c r="L94" s="5"/>
      <c r="M94" s="5"/>
      <c r="N94" s="21"/>
    </row>
    <row r="95" spans="1:14" hidden="1" x14ac:dyDescent="0.35">
      <c r="A95" s="23"/>
      <c r="B95" s="5"/>
      <c r="C95" s="6"/>
      <c r="D95" s="22"/>
      <c r="F95" s="23"/>
      <c r="G95" s="5"/>
      <c r="H95" s="6"/>
      <c r="I95" s="22"/>
      <c r="K95" s="23"/>
      <c r="L95" s="5"/>
      <c r="M95" s="6"/>
      <c r="N95" s="22"/>
    </row>
    <row r="96" spans="1:14" hidden="1" x14ac:dyDescent="0.35">
      <c r="A96" s="23"/>
      <c r="B96" s="5"/>
      <c r="C96" s="5"/>
      <c r="D96" s="21"/>
      <c r="F96" s="23"/>
      <c r="G96" s="5"/>
      <c r="H96" s="5"/>
      <c r="I96" s="21"/>
      <c r="K96" s="23"/>
      <c r="L96" s="5"/>
      <c r="M96" s="5"/>
      <c r="N96" s="21"/>
    </row>
    <row r="97" spans="1:14" hidden="1" x14ac:dyDescent="0.35">
      <c r="A97" s="23"/>
      <c r="B97" s="15"/>
      <c r="C97" s="5"/>
      <c r="D97" s="21"/>
      <c r="F97" s="23"/>
      <c r="G97" s="15"/>
      <c r="H97" s="5"/>
      <c r="I97" s="21"/>
      <c r="K97" s="23"/>
      <c r="L97" s="15"/>
      <c r="M97" s="5"/>
      <c r="N97" s="21"/>
    </row>
    <row r="98" spans="1:14" hidden="1" x14ac:dyDescent="0.35">
      <c r="A98" s="23"/>
      <c r="B98" s="15"/>
      <c r="C98" s="5"/>
      <c r="D98" s="21"/>
      <c r="F98" s="23"/>
      <c r="G98" s="15"/>
      <c r="H98" s="5"/>
      <c r="I98" s="21"/>
      <c r="K98" s="23"/>
      <c r="L98" s="15"/>
      <c r="M98" s="5"/>
      <c r="N98" s="21"/>
    </row>
    <row r="99" spans="1:14" hidden="1" x14ac:dyDescent="0.35">
      <c r="A99" s="27"/>
      <c r="B99" s="28"/>
      <c r="C99" s="29"/>
      <c r="D99" s="30"/>
      <c r="F99" s="27"/>
      <c r="G99" s="28"/>
      <c r="H99" s="29"/>
      <c r="I99" s="30"/>
      <c r="K99" s="27"/>
      <c r="L99" s="28"/>
      <c r="M99" s="29"/>
      <c r="N99" s="30"/>
    </row>
    <row r="100" spans="1:14" x14ac:dyDescent="0.35">
      <c r="A100" s="40"/>
      <c r="B100" s="41"/>
      <c r="C100" s="42">
        <f>SUBTOTAL(109,Tabell62[Belopp (tkr)])</f>
        <v>14960</v>
      </c>
      <c r="D100" s="43"/>
      <c r="F100" s="40"/>
      <c r="G100" s="41"/>
      <c r="H100" s="42">
        <f>SUBTOTAL(109,Tabell83[Belopp (tkr)])</f>
        <v>1772</v>
      </c>
      <c r="I100" s="43"/>
      <c r="K100" s="40"/>
      <c r="L100" s="41"/>
      <c r="M100" s="42">
        <f>SUBTOTAL(109,Tabell94[Belopp (tkr)])</f>
        <v>7660</v>
      </c>
      <c r="N100" s="43"/>
    </row>
    <row r="113" spans="1:2" ht="10.9" customHeight="1" x14ac:dyDescent="0.35">
      <c r="A113" s="18" t="s">
        <v>104</v>
      </c>
      <c r="B113" s="19" t="s">
        <v>105</v>
      </c>
    </row>
    <row r="114" spans="1:2" x14ac:dyDescent="0.35">
      <c r="A114" s="17" t="s">
        <v>60</v>
      </c>
      <c r="B114" s="17">
        <v>43.1</v>
      </c>
    </row>
    <row r="115" spans="1:2" x14ac:dyDescent="0.35">
      <c r="A115" s="17" t="s">
        <v>106</v>
      </c>
      <c r="B115" s="17">
        <v>13.8</v>
      </c>
    </row>
    <row r="116" spans="1:2" x14ac:dyDescent="0.35">
      <c r="A116" s="17" t="s">
        <v>107</v>
      </c>
      <c r="B116" s="17">
        <v>-1.9</v>
      </c>
    </row>
    <row r="117" spans="1:2" x14ac:dyDescent="0.35">
      <c r="A117" s="17" t="s">
        <v>108</v>
      </c>
      <c r="B117" s="17">
        <v>-0.3</v>
      </c>
    </row>
    <row r="118" spans="1:2" x14ac:dyDescent="0.35">
      <c r="A118" s="18" t="s">
        <v>109</v>
      </c>
      <c r="B118" s="18">
        <f>SUM(B114:B117)</f>
        <v>54.70000000000001</v>
      </c>
    </row>
  </sheetData>
  <mergeCells count="3">
    <mergeCell ref="B1:D1"/>
    <mergeCell ref="G1:I1"/>
    <mergeCell ref="L1:N1"/>
  </mergeCells>
  <phoneticPr fontId="9" type="noConversion"/>
  <pageMargins left="0.7" right="0.7" top="0.75" bottom="0.75" header="0.3" footer="0.3"/>
  <pageSetup paperSize="9" fitToWidth="0" fitToHeight="0" orientation="landscape" r:id="rId1"/>
  <tableParts count="3">
    <tablePart r:id="rId2"/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77C09B8-E151-4685-BC73-5FCBFBE8EA94}">
          <x14:formula1>
            <xm:f>Tabell!$B$2:$B$14</xm:f>
          </x14:formula1>
          <xm:sqref>L3 H3 G4:G25 B3:B35 G27:G95 B39:B99 L10:L15</xm:sqref>
        </x14:dataValidation>
        <x14:dataValidation type="list" allowBlank="1" showInputMessage="1" showErrorMessage="1" xr:uid="{E5085269-E381-4B37-8029-522A924A4744}">
          <x14:formula1>
            <xm:f>Tabell!$A$3:$A$18</xm:f>
          </x14:formula1>
          <xm:sqref>F3:F25 A3:A35 F27:F99 A39:A99 K3:K99</xm:sqref>
        </x14:dataValidation>
        <x14:dataValidation type="list" allowBlank="1" showInputMessage="1" showErrorMessage="1" xr:uid="{4DE8A541-7EAD-4FAA-9F42-CC7D60F86265}">
          <x14:formula1>
            <xm:f>Tabell!$B$3:$B$14</xm:f>
          </x14:formula1>
          <xm:sqref>G96:G98 L4:L9 L16:L98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B4D43-984E-42E0-9F6B-35BAB9A8E0FC}">
  <dimension ref="A35:AA47"/>
  <sheetViews>
    <sheetView showGridLines="0" workbookViewId="0">
      <selection activeCell="I20" sqref="I20"/>
    </sheetView>
  </sheetViews>
  <sheetFormatPr defaultRowHeight="14.5" x14ac:dyDescent="0.35"/>
  <cols>
    <col min="1" max="1" width="5" bestFit="1" customWidth="1"/>
    <col min="2" max="2" width="13.54296875" customWidth="1"/>
    <col min="3" max="3" width="11.26953125" customWidth="1"/>
    <col min="4" max="4" width="12" customWidth="1"/>
    <col min="5" max="5" width="19.26953125" customWidth="1"/>
    <col min="6" max="6" width="8.7265625" bestFit="1" customWidth="1"/>
    <col min="8" max="8" width="5" bestFit="1" customWidth="1"/>
    <col min="9" max="9" width="13.54296875" bestFit="1" customWidth="1"/>
    <col min="10" max="10" width="17.7265625" bestFit="1" customWidth="1"/>
    <col min="11" max="11" width="20.26953125" customWidth="1"/>
    <col min="12" max="12" width="16.54296875" customWidth="1"/>
    <col min="13" max="13" width="8.7265625" bestFit="1" customWidth="1"/>
    <col min="15" max="15" width="5" bestFit="1" customWidth="1"/>
    <col min="16" max="16" width="13.54296875" customWidth="1"/>
    <col min="17" max="17" width="16.26953125" customWidth="1"/>
    <col min="18" max="18" width="11.26953125" customWidth="1"/>
    <col min="19" max="19" width="16.7265625" bestFit="1" customWidth="1"/>
    <col min="20" max="20" width="8.7265625" bestFit="1" customWidth="1"/>
    <col min="22" max="22" width="5" bestFit="1" customWidth="1"/>
    <col min="23" max="23" width="14.453125" customWidth="1"/>
    <col min="24" max="24" width="16.7265625" customWidth="1"/>
    <col min="25" max="25" width="15.453125" customWidth="1"/>
    <col min="26" max="26" width="11.26953125" customWidth="1"/>
    <col min="27" max="27" width="8.7265625" bestFit="1" customWidth="1"/>
  </cols>
  <sheetData>
    <row r="35" spans="1:27" x14ac:dyDescent="0.35">
      <c r="A35">
        <v>2023</v>
      </c>
      <c r="H35">
        <v>2024</v>
      </c>
      <c r="O35">
        <v>2025</v>
      </c>
      <c r="V35">
        <v>2026</v>
      </c>
    </row>
    <row r="36" spans="1:27" ht="72.5" x14ac:dyDescent="0.35">
      <c r="A36" s="90"/>
      <c r="B36" s="91" t="s">
        <v>171</v>
      </c>
      <c r="C36" s="91" t="s">
        <v>172</v>
      </c>
      <c r="D36" s="91" t="s">
        <v>173</v>
      </c>
      <c r="E36" s="91" t="s">
        <v>174</v>
      </c>
      <c r="F36" s="92" t="s">
        <v>175</v>
      </c>
      <c r="H36" s="90"/>
      <c r="I36" s="91" t="s">
        <v>171</v>
      </c>
      <c r="J36" s="91" t="s">
        <v>172</v>
      </c>
      <c r="K36" s="91" t="s">
        <v>173</v>
      </c>
      <c r="L36" s="91" t="s">
        <v>174</v>
      </c>
      <c r="M36" s="92" t="s">
        <v>175</v>
      </c>
      <c r="O36" s="90"/>
      <c r="P36" s="91" t="s">
        <v>171</v>
      </c>
      <c r="Q36" s="91" t="s">
        <v>172</v>
      </c>
      <c r="R36" s="91" t="s">
        <v>173</v>
      </c>
      <c r="S36" s="91" t="s">
        <v>174</v>
      </c>
      <c r="T36" s="92" t="s">
        <v>175</v>
      </c>
      <c r="V36" s="90"/>
      <c r="W36" s="91" t="s">
        <v>171</v>
      </c>
      <c r="X36" s="91" t="s">
        <v>172</v>
      </c>
      <c r="Y36" s="91" t="s">
        <v>173</v>
      </c>
      <c r="Z36" s="91" t="s">
        <v>174</v>
      </c>
      <c r="AA36" s="92" t="s">
        <v>175</v>
      </c>
    </row>
    <row r="37" spans="1:27" x14ac:dyDescent="0.35">
      <c r="A37" s="90" t="s">
        <v>6</v>
      </c>
      <c r="B37" s="93">
        <v>16.109055587165567</v>
      </c>
      <c r="C37" s="93">
        <v>10.343435087278051</v>
      </c>
      <c r="D37" s="93">
        <v>17.884376834634271</v>
      </c>
      <c r="E37" s="93">
        <v>3.2963448275862071</v>
      </c>
      <c r="F37" s="94">
        <f>B37+C37+D37+E37</f>
        <v>47.633212336664101</v>
      </c>
      <c r="H37" s="90" t="s">
        <v>6</v>
      </c>
      <c r="I37" s="93">
        <v>34.122001880366462</v>
      </c>
      <c r="J37" s="93">
        <v>13.020081408423552</v>
      </c>
      <c r="K37" s="93">
        <v>33.856458342207716</v>
      </c>
      <c r="L37" s="93">
        <v>4.5894482758620692</v>
      </c>
      <c r="M37" s="94">
        <f>I37+J37+K37+L37</f>
        <v>85.587989906859789</v>
      </c>
      <c r="O37" s="90" t="s">
        <v>6</v>
      </c>
      <c r="P37" s="93">
        <v>27.352646901122679</v>
      </c>
      <c r="Q37" s="93">
        <v>11.938658467061044</v>
      </c>
      <c r="R37" s="93">
        <v>20.043038801066093</v>
      </c>
      <c r="S37" s="93">
        <v>4.5894482758620692</v>
      </c>
      <c r="T37" s="94">
        <f>P37+Q37+R37+S37</f>
        <v>63.923792445111886</v>
      </c>
      <c r="V37" s="90" t="s">
        <v>6</v>
      </c>
      <c r="W37" s="93">
        <v>69.572020706810548</v>
      </c>
      <c r="X37" s="93">
        <v>28.278431313244074</v>
      </c>
      <c r="Y37" s="93">
        <v>14.718860779030901</v>
      </c>
      <c r="Z37" s="93">
        <v>4.5894482758620692</v>
      </c>
      <c r="AA37" s="94">
        <f>W37+X37+Y37+Z37</f>
        <v>117.15876107494759</v>
      </c>
    </row>
    <row r="38" spans="1:27" x14ac:dyDescent="0.35">
      <c r="A38" s="90" t="s">
        <v>7</v>
      </c>
      <c r="B38" s="93">
        <v>5.4386554621848742</v>
      </c>
      <c r="C38" s="93">
        <v>2.8152993932999211</v>
      </c>
      <c r="D38" s="93">
        <v>9.509754989864394</v>
      </c>
      <c r="E38" s="93">
        <v>5.351786206896552</v>
      </c>
      <c r="F38" s="94">
        <f>B38+C38+D38+E38</f>
        <v>23.115496052245742</v>
      </c>
      <c r="H38" s="90" t="s">
        <v>7</v>
      </c>
      <c r="I38" s="93">
        <v>7.8613090306545157</v>
      </c>
      <c r="J38" s="93">
        <v>2.8027310924369746</v>
      </c>
      <c r="K38" s="93">
        <v>14.054692729001623</v>
      </c>
      <c r="L38" s="93">
        <v>7.5500620689655173</v>
      </c>
      <c r="M38" s="94">
        <f>I38+J38+K38+L38</f>
        <v>32.268794921058628</v>
      </c>
      <c r="O38" s="90" t="s">
        <v>7</v>
      </c>
      <c r="P38" s="93">
        <v>7.2961060480530238</v>
      </c>
      <c r="Q38" s="93">
        <v>2.7656905934179838</v>
      </c>
      <c r="R38" s="93">
        <v>14.326619021771711</v>
      </c>
      <c r="S38" s="93">
        <v>7.5500620689655173</v>
      </c>
      <c r="T38" s="94">
        <f>P38+Q38+R38+S38</f>
        <v>31.938477732208234</v>
      </c>
      <c r="V38" s="90" t="s">
        <v>7</v>
      </c>
      <c r="W38" s="93">
        <v>7.0394366197183098</v>
      </c>
      <c r="X38" s="93">
        <v>2.7060851926977687</v>
      </c>
      <c r="Y38" s="93">
        <v>13.038081263328078</v>
      </c>
      <c r="Z38" s="93">
        <v>7.5500620689655173</v>
      </c>
      <c r="AA38" s="94">
        <f>W38+X38+Y38+Z38</f>
        <v>30.333665144709673</v>
      </c>
    </row>
    <row r="39" spans="1:27" x14ac:dyDescent="0.35">
      <c r="A39" s="90" t="s">
        <v>8</v>
      </c>
      <c r="B39" s="93">
        <v>14.598486759142498</v>
      </c>
      <c r="C39" s="93">
        <v>3.6815453604691277</v>
      </c>
      <c r="D39" s="93">
        <v>19.800337593456277</v>
      </c>
      <c r="E39" s="93">
        <v>6.819958620689655</v>
      </c>
      <c r="F39" s="94">
        <f>B39+C39+D39+E39</f>
        <v>44.900328333757557</v>
      </c>
      <c r="H39" s="90" t="s">
        <v>8</v>
      </c>
      <c r="I39" s="93">
        <v>21.926103404791931</v>
      </c>
      <c r="J39" s="93">
        <v>3.6651098901098895</v>
      </c>
      <c r="K39" s="93">
        <v>26.976220258232058</v>
      </c>
      <c r="L39" s="93">
        <v>9.6647862068965509</v>
      </c>
      <c r="M39" s="94">
        <f>I39+J39+K39+L39</f>
        <v>62.232219760030432</v>
      </c>
      <c r="O39" s="90" t="s">
        <v>8</v>
      </c>
      <c r="P39" s="93">
        <v>31.107213114754099</v>
      </c>
      <c r="Q39" s="93">
        <v>4.7016740088105724</v>
      </c>
      <c r="R39" s="93">
        <v>40.923550870451493</v>
      </c>
      <c r="S39" s="93">
        <v>9.6647862068965509</v>
      </c>
      <c r="T39" s="94">
        <f>P39+Q39+R39+S39</f>
        <v>86.397224200912717</v>
      </c>
      <c r="V39" s="90" t="s">
        <v>8</v>
      </c>
      <c r="W39" s="93">
        <v>31.654098360655738</v>
      </c>
      <c r="X39" s="93">
        <v>4.6003448275862064</v>
      </c>
      <c r="Y39" s="93">
        <v>41.638758770055766</v>
      </c>
      <c r="Z39" s="93">
        <v>9.6647862068965509</v>
      </c>
      <c r="AA39" s="94">
        <f>W39+X39+Y39+Z39</f>
        <v>87.55798816519426</v>
      </c>
    </row>
    <row r="40" spans="1:27" x14ac:dyDescent="0.35">
      <c r="A40" s="90" t="s">
        <v>9</v>
      </c>
      <c r="B40" s="93">
        <v>9</v>
      </c>
      <c r="C40" s="93">
        <v>2.6588938714499255</v>
      </c>
      <c r="D40" s="93">
        <v>3.4578525782590255</v>
      </c>
      <c r="E40" s="93">
        <v>6.0447635862068969</v>
      </c>
      <c r="F40" s="94">
        <f>B40+C40+D40+E40</f>
        <v>21.16151003591585</v>
      </c>
      <c r="H40" s="90" t="s">
        <v>9</v>
      </c>
      <c r="I40" s="93">
        <v>6.9827586206896548</v>
      </c>
      <c r="J40" s="93">
        <v>2.7383004926108376</v>
      </c>
      <c r="K40" s="93">
        <v>3.6816236635403681</v>
      </c>
      <c r="L40" s="93">
        <v>8.548211862068964</v>
      </c>
      <c r="M40" s="94">
        <f>I40+J40+K40+L40</f>
        <v>21.950894638909823</v>
      </c>
      <c r="O40" s="90" t="s">
        <v>9</v>
      </c>
      <c r="P40" s="93">
        <v>7.1224137931034486</v>
      </c>
      <c r="Q40" s="93">
        <v>2.7021114993164215</v>
      </c>
      <c r="R40" s="93">
        <v>7.473476443838452</v>
      </c>
      <c r="S40" s="93">
        <v>8.548211862068964</v>
      </c>
      <c r="T40" s="94">
        <f>P40+Q40+R40+S40</f>
        <v>25.846213598327285</v>
      </c>
      <c r="V40" s="90" t="s">
        <v>9</v>
      </c>
      <c r="W40" s="93">
        <v>7.2646551724137929</v>
      </c>
      <c r="X40" s="93">
        <v>2.6438763376932228</v>
      </c>
      <c r="Y40" s="93">
        <v>6.0427844131053625</v>
      </c>
      <c r="Z40" s="93">
        <v>8.548211862068964</v>
      </c>
      <c r="AA40" s="94">
        <f>W40+X40+Y40+Z40</f>
        <v>24.499527785281344</v>
      </c>
    </row>
    <row r="41" spans="1:27" x14ac:dyDescent="0.35">
      <c r="H41" s="90" t="s">
        <v>10</v>
      </c>
      <c r="I41" s="93">
        <v>31.25</v>
      </c>
      <c r="J41" s="93">
        <v>2.9779017857142853</v>
      </c>
      <c r="K41" s="93">
        <v>2.1875</v>
      </c>
      <c r="L41" s="93">
        <v>10.510675862068965</v>
      </c>
      <c r="M41" s="94">
        <f>I41+J41+K41+L41</f>
        <v>46.926077647783252</v>
      </c>
      <c r="O41" s="90" t="s">
        <v>10</v>
      </c>
      <c r="P41" s="93">
        <v>7.9215686274509807</v>
      </c>
      <c r="Q41" s="93">
        <v>2.7656905934179843</v>
      </c>
      <c r="R41" s="93">
        <v>2.0588235294117645</v>
      </c>
      <c r="S41" s="93">
        <v>10.510675862068965</v>
      </c>
      <c r="T41" s="94">
        <f>P41+Q41+R41+S41</f>
        <v>23.256758612349692</v>
      </c>
      <c r="V41" s="90" t="s">
        <v>10</v>
      </c>
      <c r="W41" s="93">
        <v>6.0007843137254904</v>
      </c>
      <c r="X41" s="93">
        <v>2.7060851926977687</v>
      </c>
      <c r="Y41" s="93">
        <v>4.8116275481759757E-3</v>
      </c>
      <c r="Z41" s="93">
        <v>10.510675862068965</v>
      </c>
      <c r="AA41" s="94">
        <f>W41+X41+Y41+Z41</f>
        <v>19.2223569960404</v>
      </c>
    </row>
    <row r="43" spans="1:27" x14ac:dyDescent="0.35">
      <c r="B43" s="90" t="s">
        <v>6</v>
      </c>
      <c r="C43" s="90" t="s">
        <v>7</v>
      </c>
      <c r="D43" s="90" t="s">
        <v>8</v>
      </c>
      <c r="E43" s="90" t="s">
        <v>9</v>
      </c>
      <c r="F43" s="90" t="s">
        <v>10</v>
      </c>
    </row>
    <row r="44" spans="1:27" x14ac:dyDescent="0.35">
      <c r="A44" s="90">
        <v>2023</v>
      </c>
      <c r="B44" s="93">
        <f>F37</f>
        <v>47.633212336664101</v>
      </c>
      <c r="C44" s="93">
        <f>F38</f>
        <v>23.115496052245742</v>
      </c>
      <c r="D44" s="93">
        <f>F39</f>
        <v>44.900328333757557</v>
      </c>
      <c r="E44" s="93">
        <f>F40</f>
        <v>21.16151003591585</v>
      </c>
      <c r="F44" s="93">
        <v>0</v>
      </c>
    </row>
    <row r="45" spans="1:27" x14ac:dyDescent="0.35">
      <c r="A45" s="90">
        <v>2024</v>
      </c>
      <c r="B45" s="93">
        <f>M37</f>
        <v>85.587989906859789</v>
      </c>
      <c r="C45" s="93">
        <f>M38</f>
        <v>32.268794921058628</v>
      </c>
      <c r="D45" s="93">
        <f>M39</f>
        <v>62.232219760030432</v>
      </c>
      <c r="E45" s="93">
        <f>M40</f>
        <v>21.950894638909823</v>
      </c>
      <c r="F45" s="93">
        <f>M41</f>
        <v>46.926077647783252</v>
      </c>
    </row>
    <row r="46" spans="1:27" x14ac:dyDescent="0.35">
      <c r="A46" s="90">
        <v>2025</v>
      </c>
      <c r="B46" s="93">
        <f>T37</f>
        <v>63.923792445111886</v>
      </c>
      <c r="C46" s="93">
        <f>T38</f>
        <v>31.938477732208234</v>
      </c>
      <c r="D46" s="93">
        <f>T39</f>
        <v>86.397224200912717</v>
      </c>
      <c r="E46" s="93">
        <f>T40</f>
        <v>25.846213598327285</v>
      </c>
      <c r="F46" s="93">
        <f>T41</f>
        <v>23.256758612349692</v>
      </c>
    </row>
    <row r="47" spans="1:27" x14ac:dyDescent="0.35">
      <c r="A47" s="90">
        <v>2026</v>
      </c>
      <c r="B47" s="93">
        <f>AA37</f>
        <v>117.15876107494759</v>
      </c>
      <c r="C47" s="93">
        <f>AA38</f>
        <v>30.333665144709673</v>
      </c>
      <c r="D47" s="93">
        <f>AA39</f>
        <v>87.55798816519426</v>
      </c>
      <c r="E47" s="93">
        <f>AA40</f>
        <v>24.499527785281344</v>
      </c>
      <c r="F47" s="93">
        <f>AA41</f>
        <v>19.2223569960404</v>
      </c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DF3F7-0FCC-4DD1-90D1-E8453FC97968}">
  <dimension ref="A1:B13"/>
  <sheetViews>
    <sheetView workbookViewId="0">
      <selection activeCell="A9" sqref="A9:A13"/>
    </sheetView>
  </sheetViews>
  <sheetFormatPr defaultRowHeight="14.5" x14ac:dyDescent="0.35"/>
  <cols>
    <col min="1" max="1" width="28.7265625" bestFit="1" customWidth="1"/>
    <col min="2" max="2" width="14.54296875" customWidth="1"/>
  </cols>
  <sheetData>
    <row r="1" spans="1:2" x14ac:dyDescent="0.35">
      <c r="A1" t="s">
        <v>111</v>
      </c>
      <c r="B1" t="s">
        <v>176</v>
      </c>
    </row>
    <row r="3" spans="1:2" x14ac:dyDescent="0.35">
      <c r="A3" t="s">
        <v>51</v>
      </c>
      <c r="B3" t="s">
        <v>6</v>
      </c>
    </row>
    <row r="4" spans="1:2" x14ac:dyDescent="0.35">
      <c r="A4" t="s">
        <v>52</v>
      </c>
      <c r="B4" t="s">
        <v>7</v>
      </c>
    </row>
    <row r="5" spans="1:2" x14ac:dyDescent="0.35">
      <c r="A5" t="s">
        <v>53</v>
      </c>
      <c r="B5" t="s">
        <v>8</v>
      </c>
    </row>
    <row r="6" spans="1:2" x14ac:dyDescent="0.35">
      <c r="A6" t="s">
        <v>54</v>
      </c>
      <c r="B6" t="s">
        <v>9</v>
      </c>
    </row>
    <row r="7" spans="1:2" x14ac:dyDescent="0.35">
      <c r="A7" t="s">
        <v>55</v>
      </c>
      <c r="B7" t="s">
        <v>10</v>
      </c>
    </row>
    <row r="8" spans="1:2" x14ac:dyDescent="0.35">
      <c r="B8" t="s">
        <v>32</v>
      </c>
    </row>
    <row r="9" spans="1:2" x14ac:dyDescent="0.35">
      <c r="A9" t="s">
        <v>56</v>
      </c>
      <c r="B9" t="s">
        <v>14</v>
      </c>
    </row>
    <row r="10" spans="1:2" x14ac:dyDescent="0.35">
      <c r="A10" t="s">
        <v>57</v>
      </c>
      <c r="B10" t="s">
        <v>15</v>
      </c>
    </row>
    <row r="11" spans="1:2" x14ac:dyDescent="0.35">
      <c r="A11" t="s">
        <v>58</v>
      </c>
      <c r="B11" t="s">
        <v>16</v>
      </c>
    </row>
    <row r="12" spans="1:2" x14ac:dyDescent="0.35">
      <c r="A12" t="s">
        <v>59</v>
      </c>
      <c r="B12" t="s">
        <v>17</v>
      </c>
    </row>
    <row r="13" spans="1:2" x14ac:dyDescent="0.35">
      <c r="A13" t="s">
        <v>60</v>
      </c>
    </row>
  </sheetData>
  <phoneticPr fontId="9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6AD431AC1C5E419A5CC19EF11653C7" ma:contentTypeVersion="11" ma:contentTypeDescription="Skapa ett nytt dokument." ma:contentTypeScope="" ma:versionID="270e626bcb786070579f90d77377e075">
  <xsd:schema xmlns:xsd="http://www.w3.org/2001/XMLSchema" xmlns:xs="http://www.w3.org/2001/XMLSchema" xmlns:p="http://schemas.microsoft.com/office/2006/metadata/properties" xmlns:ns2="d4ab37c0-f16b-4663-bcb3-4acc59a49e4b" xmlns:ns3="ffcdd43c-4a88-4c51-be5f-9f29004498e9" targetNamespace="http://schemas.microsoft.com/office/2006/metadata/properties" ma:root="true" ma:fieldsID="98373323f68697625bb4bc7fd500e1eb" ns2:_="" ns3:_="">
    <xsd:import namespace="d4ab37c0-f16b-4663-bcb3-4acc59a49e4b"/>
    <xsd:import namespace="ffcdd43c-4a88-4c51-be5f-9f29004498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b37c0-f16b-4663-bcb3-4acc59a49e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d43c-4a88-4c51-be5f-9f29004498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C o E A A B Q S w M E F A A C A A g A p 3 A s V W q N + s q k A A A A 9 g A A A B I A H A B D b 2 5 m a W c v U G F j a 2 F n Z S 5 4 b W w g o h g A K K A U A A A A A A A A A A A A A A A A A A A A A A A A A A A A h Y + x D o I w G I R f h X S n L X U x 5 K c M x k 0 S E x L j 2 p Q K j d A a W i j v 5 u A j + Q p i F H V z v L v v k r v 7 9 Q b 5 1 L X R q H q n r c l Q g i m K l J G 2 0 q b O 0 O B P 8 R r l H P Z C n k W t o h k 2 L p 2 c z l D j / S U l J I S A w w r b v i a M 0 o Q c i 1 0 p G 9 W J W B v n h Z E K f V r V / x b i c H i N 4 Q w n l G F G 5 0 1 A F h M K b b 4 A m 7 N n + m P C Z m j 9 0 C v u x r j c A l k k k P c H / g B Q S w M E F A A C A A g A p 3 A s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d w L F V f h x B w J A E A A J k B A A A T A B w A R m 9 y b X V s Y X M v U 2 V j d G l v b j E u b S C i G A A o o B Q A A A A A A A A A A A A A A A A A A A A A A A A A A A B t U M t K w 0 A U 3 Q f y D 5 d 0 k 0 C I F O o D S h e 2 V d B C q T Z W U E o Z k 1 s d m N y p M x M 1 L d 3 5 K f 5 J f 8 y b p u r G 2 Q y c e 1 4 c i 5 m T m m D a / O 2 u 7 / m e f R E G c 0 j F E y o F P V D o f A / 4 j X Z f S g l G + K Q w u T S 6 u N X v N r y 2 m p K h z s o C y Y V 9 S c J U y R A z X a w M W v u D 1 P w U P 1 w Y y M 7 x f W b t 2 9 T S 5 K 5 j Z n L 2 U K 2 z 0 0 l 1 d j S e X b 2 O + z f n v S C G R n d B m c 4 l P S d 9 Y f G k E 8 U w O B j L O h a X S j i M G O a e s H B c L w x d t U K g k t t y U X A c G k G B T s D j F I 0 U S q 4 x T + o u z H a m x H k E k m C v c n v J Y y s Y a V U W B O 2 A O Q s 3 j + J m h F a w + 6 T c i L y m B 7 9 j p E a Q X W p T D P a y l K 1 s 2 A w W b z Z / Z v E h h b O 3 2 8 j 3 J P 1 n 2 / 0 G U E s B A i 0 A F A A C A A g A p 3 A s V W q N + s q k A A A A 9 g A A A B I A A A A A A A A A A A A A A A A A A A A A A E N v b m Z p Z y 9 Q Y W N r Y W d l L n h t b F B L A Q I t A B Q A A g A I A K d w L F U P y u m r p A A A A O k A A A A T A A A A A A A A A A A A A A A A A P A A A A B b Q 2 9 u d G V u d F 9 U e X B l c 1 0 u e G 1 s U E s B A i 0 A F A A C A A g A p 3 A s V V + H E H A k A Q A A m Q E A A B M A A A A A A A A A A A A A A A A A 4 Q E A A E Z v c m 1 1 b G F z L 1 N l Y 3 R p b 2 4 x L m 1 Q S w U G A A A A A A M A A w D C A A A A U g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w g A A A A A A A D p B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Z W x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V y a W 5 n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T J U M T E 6 N D k 6 M j Y u N j I 2 N D U x M l o i I C 8 + P E V u d H J 5 I F R 5 c G U 9 I k Z p b G x D b 2 x 1 b W 5 U e X B l c y I g V m F s d W U 9 I n N C Z z 0 9 I i A v P j x F b n R y e S B U e X B l P S J G a W x s Q 2 9 s d W 1 u T m F t Z X M i I F Z h b H V l P S J z W y Z x d W 9 0 O 0 t v b H V t b i A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L 0 F 1 d G 9 S Z W 1 v d m V k Q 2 9 s d W 1 u c z E u e 0 t v b H V t b i A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C 9 B d X R v U m V t b 3 Z l Z E N v b H V t b n M x L n t L b 2 x 1 b W 4 g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v J U M z J T g 0 b m R y Y W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+ F j q T 6 N n 5 k u 6 m W t T c + c y L g A A A A A C A A A A A A A D Z g A A w A A A A B A A A A D b x g D r f 8 k c K O A D / B 7 F M 8 D n A A A A A A S A A A C g A A A A E A A A A L Z / t c J T u d y 0 8 g y S S F s v h h x Q A A A A K H S B N 1 b m G d V F G p 6 3 9 E h B c V U m + F 2 f 2 C Z B D + 5 i v i E r X c w o u R A i m C W y w L E o 6 Q v K m z e T w W B U s C 4 1 + k E w j x I p F 5 U A j t r + C A Y F 3 b d + v g 2 W I b W / 3 p 4 U A A A A m / I J 8 c R Y g F g o a Y z g H K 0 1 A W u D u N E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0E23AE-0461-482B-A597-7391DD2036C3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d4ab37c0-f16b-4663-bcb3-4acc59a49e4b"/>
    <ds:schemaRef ds:uri="http://purl.org/dc/terms/"/>
    <ds:schemaRef ds:uri="ffcdd43c-4a88-4c51-be5f-9f29004498e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44A8551-CCAD-4C03-9812-397FCC0D6D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ab37c0-f16b-4663-bcb3-4acc59a49e4b"/>
    <ds:schemaRef ds:uri="ffcdd43c-4a88-4c51-be5f-9f2900449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DDFAF-8BBA-4620-92FB-F45891DB5B1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949A41F-C2A4-41CA-BEFE-215187408E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LTP 2024-2026</vt:lpstr>
      <vt:lpstr>Index</vt:lpstr>
      <vt:lpstr>Blad1</vt:lpstr>
      <vt:lpstr>Avskrivningar 2024-2026</vt:lpstr>
      <vt:lpstr>Avgående Projekt 2024-2026</vt:lpstr>
      <vt:lpstr>Permanent 2024-2026</vt:lpstr>
      <vt:lpstr>Tillkommande projekt 2024-2026</vt:lpstr>
      <vt:lpstr>Underhållskostnad per vagn typ </vt:lpstr>
      <vt:lpstr>Tabell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Haris Maslo</dc:creator>
  <cp:keywords/>
  <dc:description/>
  <cp:lastModifiedBy>Linda Rudenwall</cp:lastModifiedBy>
  <cp:revision/>
  <dcterms:created xsi:type="dcterms:W3CDTF">2015-06-05T18:19:34Z</dcterms:created>
  <dcterms:modified xsi:type="dcterms:W3CDTF">2022-11-07T12:39:24Z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0x010100306AD431AC1C5E419A5CC19EF11653C7</vt:lpwstr>
  </property>
</Properties>
</file>