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sgem\GSAB\GSAB\Styrelsemöten\2022\220209\"/>
    </mc:Choice>
  </mc:AlternateContent>
  <xr:revisionPtr revIDLastSave="0" documentId="13_ncr:1_{3B3FF737-F309-40FA-9B9B-B0F7287FD6D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Investeringar" sheetId="1" r:id="rId1"/>
    <sheet name="Uträkning" sheetId="2" r:id="rId2"/>
    <sheet name="ANL budget" sheetId="15" r:id="rId3"/>
    <sheet name="2022" sheetId="4" r:id="rId4"/>
    <sheet name="2023" sheetId="5" r:id="rId5"/>
    <sheet name="2024" sheetId="6" r:id="rId6"/>
    <sheet name="2025" sheetId="7" r:id="rId7"/>
    <sheet name="2026" sheetId="8" r:id="rId8"/>
    <sheet name="2027" sheetId="9" r:id="rId9"/>
    <sheet name="2028" sheetId="10" r:id="rId10"/>
    <sheet name="2029" sheetId="11" r:id="rId11"/>
    <sheet name="2030" sheetId="12" r:id="rId12"/>
    <sheet name="2031" sheetId="13" r:id="rId13"/>
    <sheet name="2032" sheetId="14" r:id="rId14"/>
    <sheet name="Lista" sheetId="3" state="hidden" r:id="rId15"/>
  </sheets>
  <definedNames>
    <definedName name="_xlnm._FilterDatabase" localSheetId="1" hidden="1">Uträkning!$A$3:$AC$69</definedName>
    <definedName name="_xlnm.Print_Titles" localSheetId="3">'2022'!$1:$10</definedName>
    <definedName name="_xlnm.Print_Titles" localSheetId="4">'2023'!$1:$10</definedName>
    <definedName name="_xlnm.Print_Titles" localSheetId="5">'2024'!$1:$10</definedName>
    <definedName name="_xlnm.Print_Titles" localSheetId="6">'2025'!$1:$10</definedName>
    <definedName name="_xlnm.Print_Titles" localSheetId="7">'2026'!$1:$10</definedName>
    <definedName name="_xlnm.Print_Titles" localSheetId="8">'2027'!$1:$10</definedName>
    <definedName name="_xlnm.Print_Titles" localSheetId="9">'2028'!$1:$10</definedName>
    <definedName name="_xlnm.Print_Titles" localSheetId="10">'2029'!$1:$10</definedName>
    <definedName name="_xlnm.Print_Titles" localSheetId="11">'2030'!$1:$10</definedName>
    <definedName name="_xlnm.Print_Titles" localSheetId="12">'2031'!$1:$10</definedName>
    <definedName name="_xlnm.Print_Titles" localSheetId="13">'2032'!$1:$10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5" i="1" l="1"/>
  <c r="S94" i="1"/>
  <c r="Q94" i="1"/>
  <c r="R94" i="1"/>
  <c r="S100" i="1"/>
  <c r="F100" i="1"/>
  <c r="B12" i="15"/>
  <c r="B11" i="15"/>
  <c r="B10" i="15"/>
  <c r="B9" i="15"/>
  <c r="B8" i="15"/>
  <c r="B7" i="15"/>
  <c r="B6" i="15"/>
  <c r="B5" i="15"/>
  <c r="B4" i="15"/>
  <c r="B3" i="15"/>
  <c r="B2" i="15"/>
  <c r="E70" i="2"/>
  <c r="F70" i="2"/>
  <c r="G70" i="2"/>
  <c r="H70" i="2"/>
  <c r="I70" i="2"/>
  <c r="J70" i="2"/>
  <c r="K70" i="2"/>
  <c r="L70" i="2"/>
  <c r="M70" i="2"/>
  <c r="N70" i="2"/>
  <c r="D70" i="2"/>
  <c r="Z70" i="2"/>
  <c r="AC70" i="2"/>
  <c r="P35" i="2"/>
  <c r="U35" i="2" s="1"/>
  <c r="O66" i="2"/>
  <c r="Z66" i="2" s="1"/>
  <c r="O63" i="2"/>
  <c r="W63" i="2" s="1"/>
  <c r="O51" i="2"/>
  <c r="W51" i="2" s="1"/>
  <c r="O47" i="2"/>
  <c r="W47" i="2" s="1"/>
  <c r="O46" i="2"/>
  <c r="W46" i="2" s="1"/>
  <c r="O45" i="2"/>
  <c r="W45" i="2" s="1"/>
  <c r="O42" i="2"/>
  <c r="W42" i="2" s="1"/>
  <c r="O31" i="2"/>
  <c r="W31" i="2" s="1"/>
  <c r="O30" i="2"/>
  <c r="W30" i="2" s="1"/>
  <c r="O29" i="2"/>
  <c r="W29" i="2" s="1"/>
  <c r="O28" i="2"/>
  <c r="W28" i="2" s="1"/>
  <c r="O27" i="2"/>
  <c r="W27" i="2" s="1"/>
  <c r="O68" i="2"/>
  <c r="T68" i="2" s="1"/>
  <c r="O62" i="2"/>
  <c r="T62" i="2" s="1"/>
  <c r="O59" i="2"/>
  <c r="T59" i="2" s="1"/>
  <c r="O58" i="2"/>
  <c r="T58" i="2" s="1"/>
  <c r="O57" i="2"/>
  <c r="T57" i="2" s="1"/>
  <c r="O56" i="2"/>
  <c r="T56" i="2" s="1"/>
  <c r="O55" i="2"/>
  <c r="T55" i="2" s="1"/>
  <c r="O54" i="2"/>
  <c r="T54" i="2" s="1"/>
  <c r="O44" i="2"/>
  <c r="T44" i="2" s="1"/>
  <c r="O36" i="2"/>
  <c r="T36" i="2" s="1"/>
  <c r="O35" i="2"/>
  <c r="T35" i="2" s="1"/>
  <c r="O32" i="2"/>
  <c r="T32" i="2" s="1"/>
  <c r="O25" i="2"/>
  <c r="T25" i="2" s="1"/>
  <c r="O24" i="2"/>
  <c r="T24" i="2" s="1"/>
  <c r="O23" i="2"/>
  <c r="T23" i="2" s="1"/>
  <c r="O22" i="2"/>
  <c r="T22" i="2" s="1"/>
  <c r="O20" i="2"/>
  <c r="T20" i="2" s="1"/>
  <c r="O19" i="2"/>
  <c r="T19" i="2" s="1"/>
  <c r="O18" i="2"/>
  <c r="T18" i="2" s="1"/>
  <c r="O17" i="2"/>
  <c r="T17" i="2" s="1"/>
  <c r="O16" i="2"/>
  <c r="T16" i="2" s="1"/>
  <c r="O15" i="2"/>
  <c r="T15" i="2" s="1"/>
  <c r="O14" i="2"/>
  <c r="T14" i="2" s="1"/>
  <c r="O13" i="2"/>
  <c r="T13" i="2" s="1"/>
  <c r="O12" i="2"/>
  <c r="T12" i="2" s="1"/>
  <c r="O11" i="2"/>
  <c r="T11" i="2" s="1"/>
  <c r="O10" i="2"/>
  <c r="T10" i="2" s="1"/>
  <c r="O9" i="2"/>
  <c r="T9" i="2" s="1"/>
  <c r="O8" i="2"/>
  <c r="T8" i="2" s="1"/>
  <c r="O7" i="2"/>
  <c r="T7" i="2" s="1"/>
  <c r="O6" i="2"/>
  <c r="T6" i="2" s="1"/>
  <c r="O5" i="2"/>
  <c r="T5" i="2" s="1"/>
  <c r="Y67" i="2"/>
  <c r="X67" i="2"/>
  <c r="W67" i="2"/>
  <c r="V67" i="2"/>
  <c r="U67" i="2"/>
  <c r="T67" i="2"/>
  <c r="S67" i="2"/>
  <c r="R67" i="2"/>
  <c r="Q67" i="2"/>
  <c r="P67" i="2"/>
  <c r="O67" i="2"/>
  <c r="Y65" i="2"/>
  <c r="X65" i="2"/>
  <c r="W65" i="2"/>
  <c r="V65" i="2"/>
  <c r="U65" i="2"/>
  <c r="T65" i="2"/>
  <c r="S65" i="2"/>
  <c r="R65" i="2"/>
  <c r="Q65" i="2"/>
  <c r="P65" i="2"/>
  <c r="O65" i="2"/>
  <c r="Y64" i="2"/>
  <c r="X64" i="2"/>
  <c r="W64" i="2"/>
  <c r="V64" i="2"/>
  <c r="U64" i="2"/>
  <c r="T64" i="2"/>
  <c r="S64" i="2"/>
  <c r="R64" i="2"/>
  <c r="Q64" i="2"/>
  <c r="P64" i="2"/>
  <c r="O64" i="2"/>
  <c r="Y63" i="2"/>
  <c r="X63" i="2"/>
  <c r="U63" i="2"/>
  <c r="T63" i="2"/>
  <c r="S63" i="2"/>
  <c r="R63" i="2"/>
  <c r="Q63" i="2"/>
  <c r="P63" i="2"/>
  <c r="Y61" i="2"/>
  <c r="X61" i="2"/>
  <c r="W61" i="2"/>
  <c r="V61" i="2"/>
  <c r="U61" i="2"/>
  <c r="T61" i="2"/>
  <c r="S61" i="2"/>
  <c r="R61" i="2"/>
  <c r="Q61" i="2"/>
  <c r="P61" i="2"/>
  <c r="O61" i="2"/>
  <c r="Y60" i="2"/>
  <c r="X60" i="2"/>
  <c r="W60" i="2"/>
  <c r="V60" i="2"/>
  <c r="U60" i="2"/>
  <c r="T60" i="2"/>
  <c r="S60" i="2"/>
  <c r="R60" i="2"/>
  <c r="Q60" i="2"/>
  <c r="P60" i="2"/>
  <c r="O60" i="2"/>
  <c r="Y53" i="2"/>
  <c r="X53" i="2"/>
  <c r="W53" i="2"/>
  <c r="V53" i="2"/>
  <c r="U53" i="2"/>
  <c r="T53" i="2"/>
  <c r="S53" i="2"/>
  <c r="R53" i="2"/>
  <c r="Q53" i="2"/>
  <c r="P53" i="2"/>
  <c r="O53" i="2"/>
  <c r="Y52" i="2"/>
  <c r="X52" i="2"/>
  <c r="W52" i="2"/>
  <c r="V52" i="2"/>
  <c r="U52" i="2"/>
  <c r="T52" i="2"/>
  <c r="S52" i="2"/>
  <c r="R52" i="2"/>
  <c r="Q52" i="2"/>
  <c r="P52" i="2"/>
  <c r="O52" i="2"/>
  <c r="Y51" i="2"/>
  <c r="X51" i="2"/>
  <c r="V51" i="2"/>
  <c r="U51" i="2"/>
  <c r="T51" i="2"/>
  <c r="S51" i="2"/>
  <c r="R51" i="2"/>
  <c r="Q51" i="2"/>
  <c r="P51" i="2"/>
  <c r="Y50" i="2"/>
  <c r="X50" i="2"/>
  <c r="W50" i="2"/>
  <c r="V50" i="2"/>
  <c r="U50" i="2"/>
  <c r="T50" i="2"/>
  <c r="S50" i="2"/>
  <c r="R50" i="2"/>
  <c r="Q50" i="2"/>
  <c r="P50" i="2"/>
  <c r="O50" i="2"/>
  <c r="Y49" i="2"/>
  <c r="X49" i="2"/>
  <c r="W49" i="2"/>
  <c r="V49" i="2"/>
  <c r="U49" i="2"/>
  <c r="T49" i="2"/>
  <c r="S49" i="2"/>
  <c r="R49" i="2"/>
  <c r="Q49" i="2"/>
  <c r="P49" i="2"/>
  <c r="O49" i="2"/>
  <c r="Y48" i="2"/>
  <c r="X48" i="2"/>
  <c r="W48" i="2"/>
  <c r="V48" i="2"/>
  <c r="U48" i="2"/>
  <c r="T48" i="2"/>
  <c r="S48" i="2"/>
  <c r="R48" i="2"/>
  <c r="Q48" i="2"/>
  <c r="P48" i="2"/>
  <c r="O48" i="2"/>
  <c r="Y47" i="2"/>
  <c r="X47" i="2"/>
  <c r="V47" i="2"/>
  <c r="U47" i="2"/>
  <c r="T47" i="2"/>
  <c r="S47" i="2"/>
  <c r="R47" i="2"/>
  <c r="Q47" i="2"/>
  <c r="P47" i="2"/>
  <c r="Y46" i="2"/>
  <c r="X46" i="2"/>
  <c r="V46" i="2"/>
  <c r="U46" i="2"/>
  <c r="T46" i="2"/>
  <c r="S46" i="2"/>
  <c r="R46" i="2"/>
  <c r="Q46" i="2"/>
  <c r="P46" i="2"/>
  <c r="Y45" i="2"/>
  <c r="X45" i="2"/>
  <c r="V45" i="2"/>
  <c r="U45" i="2"/>
  <c r="T45" i="2"/>
  <c r="S45" i="2"/>
  <c r="R45" i="2"/>
  <c r="Q45" i="2"/>
  <c r="P45" i="2"/>
  <c r="Y43" i="2"/>
  <c r="X43" i="2"/>
  <c r="W43" i="2"/>
  <c r="V43" i="2"/>
  <c r="U43" i="2"/>
  <c r="T43" i="2"/>
  <c r="S43" i="2"/>
  <c r="R43" i="2"/>
  <c r="Q43" i="2"/>
  <c r="P43" i="2"/>
  <c r="O43" i="2"/>
  <c r="Y42" i="2"/>
  <c r="X42" i="2"/>
  <c r="V42" i="2"/>
  <c r="U42" i="2"/>
  <c r="T42" i="2"/>
  <c r="S42" i="2"/>
  <c r="R42" i="2"/>
  <c r="Q42" i="2"/>
  <c r="P42" i="2"/>
  <c r="Y41" i="2"/>
  <c r="X41" i="2"/>
  <c r="W41" i="2"/>
  <c r="V41" i="2"/>
  <c r="U41" i="2"/>
  <c r="T41" i="2"/>
  <c r="S41" i="2"/>
  <c r="R41" i="2"/>
  <c r="Q41" i="2"/>
  <c r="P41" i="2"/>
  <c r="O41" i="2"/>
  <c r="Y39" i="2"/>
  <c r="X39" i="2"/>
  <c r="W39" i="2"/>
  <c r="V39" i="2"/>
  <c r="U39" i="2"/>
  <c r="T39" i="2"/>
  <c r="S39" i="2"/>
  <c r="R39" i="2"/>
  <c r="Q39" i="2"/>
  <c r="P39" i="2"/>
  <c r="O39" i="2"/>
  <c r="Y38" i="2"/>
  <c r="X38" i="2"/>
  <c r="W38" i="2"/>
  <c r="V38" i="2"/>
  <c r="U38" i="2"/>
  <c r="T38" i="2"/>
  <c r="S38" i="2"/>
  <c r="R38" i="2"/>
  <c r="Q38" i="2"/>
  <c r="P38" i="2"/>
  <c r="O38" i="2"/>
  <c r="Y37" i="2"/>
  <c r="X37" i="2"/>
  <c r="W37" i="2"/>
  <c r="V37" i="2"/>
  <c r="U37" i="2"/>
  <c r="T37" i="2"/>
  <c r="S37" i="2"/>
  <c r="R37" i="2"/>
  <c r="Q37" i="2"/>
  <c r="P37" i="2"/>
  <c r="O37" i="2"/>
  <c r="Y31" i="2"/>
  <c r="X31" i="2"/>
  <c r="V31" i="2"/>
  <c r="U31" i="2"/>
  <c r="T31" i="2"/>
  <c r="S31" i="2"/>
  <c r="R31" i="2"/>
  <c r="Q31" i="2"/>
  <c r="P31" i="2"/>
  <c r="Y30" i="2"/>
  <c r="X30" i="2"/>
  <c r="V30" i="2"/>
  <c r="U30" i="2"/>
  <c r="T30" i="2"/>
  <c r="S30" i="2"/>
  <c r="R30" i="2"/>
  <c r="Q30" i="2"/>
  <c r="P30" i="2"/>
  <c r="Y29" i="2"/>
  <c r="X29" i="2"/>
  <c r="V29" i="2"/>
  <c r="U29" i="2"/>
  <c r="T29" i="2"/>
  <c r="S29" i="2"/>
  <c r="R29" i="2"/>
  <c r="Q29" i="2"/>
  <c r="P29" i="2"/>
  <c r="Y28" i="2"/>
  <c r="X28" i="2"/>
  <c r="V28" i="2"/>
  <c r="U28" i="2"/>
  <c r="T28" i="2"/>
  <c r="S28" i="2"/>
  <c r="R28" i="2"/>
  <c r="Q28" i="2"/>
  <c r="P28" i="2"/>
  <c r="Y27" i="2"/>
  <c r="X27" i="2"/>
  <c r="V27" i="2"/>
  <c r="U27" i="2"/>
  <c r="T27" i="2"/>
  <c r="S27" i="2"/>
  <c r="R27" i="2"/>
  <c r="Q27" i="2"/>
  <c r="P27" i="2"/>
  <c r="Y69" i="2"/>
  <c r="X69" i="2"/>
  <c r="W69" i="2"/>
  <c r="V69" i="2"/>
  <c r="U69" i="2"/>
  <c r="T69" i="2"/>
  <c r="S69" i="2"/>
  <c r="R69" i="2"/>
  <c r="Q69" i="2"/>
  <c r="P69" i="2"/>
  <c r="O69" i="2"/>
  <c r="Y68" i="2"/>
  <c r="X68" i="2"/>
  <c r="W68" i="2"/>
  <c r="V68" i="2"/>
  <c r="U68" i="2"/>
  <c r="S68" i="2"/>
  <c r="R68" i="2"/>
  <c r="Q68" i="2"/>
  <c r="P68" i="2"/>
  <c r="Y62" i="2"/>
  <c r="X62" i="2"/>
  <c r="W62" i="2"/>
  <c r="V62" i="2"/>
  <c r="U62" i="2"/>
  <c r="S62" i="2"/>
  <c r="R62" i="2"/>
  <c r="Q62" i="2"/>
  <c r="P62" i="2"/>
  <c r="Y59" i="2"/>
  <c r="X59" i="2"/>
  <c r="W59" i="2"/>
  <c r="V59" i="2"/>
  <c r="U59" i="2"/>
  <c r="S59" i="2"/>
  <c r="R59" i="2"/>
  <c r="Q59" i="2"/>
  <c r="P59" i="2"/>
  <c r="Y58" i="2"/>
  <c r="X58" i="2"/>
  <c r="W58" i="2"/>
  <c r="V58" i="2"/>
  <c r="U58" i="2"/>
  <c r="S58" i="2"/>
  <c r="R58" i="2"/>
  <c r="Q58" i="2"/>
  <c r="P58" i="2"/>
  <c r="Y57" i="2"/>
  <c r="X57" i="2"/>
  <c r="W57" i="2"/>
  <c r="V57" i="2"/>
  <c r="U57" i="2"/>
  <c r="S57" i="2"/>
  <c r="R57" i="2"/>
  <c r="Q57" i="2"/>
  <c r="P57" i="2"/>
  <c r="Y56" i="2"/>
  <c r="X56" i="2"/>
  <c r="W56" i="2"/>
  <c r="V56" i="2"/>
  <c r="U56" i="2"/>
  <c r="S56" i="2"/>
  <c r="R56" i="2"/>
  <c r="Q56" i="2"/>
  <c r="P56" i="2"/>
  <c r="Y55" i="2"/>
  <c r="X55" i="2"/>
  <c r="W55" i="2"/>
  <c r="V55" i="2"/>
  <c r="U55" i="2"/>
  <c r="S55" i="2"/>
  <c r="R55" i="2"/>
  <c r="Q55" i="2"/>
  <c r="P55" i="2"/>
  <c r="Y54" i="2"/>
  <c r="X54" i="2"/>
  <c r="W54" i="2"/>
  <c r="V54" i="2"/>
  <c r="U54" i="2"/>
  <c r="S54" i="2"/>
  <c r="R54" i="2"/>
  <c r="Q54" i="2"/>
  <c r="P54" i="2"/>
  <c r="Y44" i="2"/>
  <c r="X44" i="2"/>
  <c r="W44" i="2"/>
  <c r="V44" i="2"/>
  <c r="U44" i="2"/>
  <c r="S44" i="2"/>
  <c r="R44" i="2"/>
  <c r="Q44" i="2"/>
  <c r="P44" i="2"/>
  <c r="Y36" i="2"/>
  <c r="X36" i="2"/>
  <c r="W36" i="2"/>
  <c r="V36" i="2"/>
  <c r="U36" i="2"/>
  <c r="S36" i="2"/>
  <c r="R36" i="2"/>
  <c r="Q36" i="2"/>
  <c r="P36" i="2"/>
  <c r="Y35" i="2"/>
  <c r="X35" i="2"/>
  <c r="W35" i="2"/>
  <c r="V35" i="2"/>
  <c r="S35" i="2"/>
  <c r="R35" i="2"/>
  <c r="Q35" i="2"/>
  <c r="Y34" i="2"/>
  <c r="X34" i="2"/>
  <c r="W34" i="2"/>
  <c r="V34" i="2"/>
  <c r="U34" i="2"/>
  <c r="T34" i="2"/>
  <c r="S34" i="2"/>
  <c r="R34" i="2"/>
  <c r="Q34" i="2"/>
  <c r="P34" i="2"/>
  <c r="O34" i="2"/>
  <c r="Y33" i="2"/>
  <c r="X33" i="2"/>
  <c r="W33" i="2"/>
  <c r="V33" i="2"/>
  <c r="U33" i="2"/>
  <c r="T33" i="2"/>
  <c r="S33" i="2"/>
  <c r="R33" i="2"/>
  <c r="Q33" i="2"/>
  <c r="P33" i="2"/>
  <c r="O33" i="2"/>
  <c r="Y32" i="2"/>
  <c r="X32" i="2"/>
  <c r="W32" i="2"/>
  <c r="V32" i="2"/>
  <c r="U32" i="2"/>
  <c r="S32" i="2"/>
  <c r="R32" i="2"/>
  <c r="Q32" i="2"/>
  <c r="P32" i="2"/>
  <c r="Y25" i="2"/>
  <c r="X25" i="2"/>
  <c r="W25" i="2"/>
  <c r="V25" i="2"/>
  <c r="U25" i="2"/>
  <c r="S25" i="2"/>
  <c r="R25" i="2"/>
  <c r="Q25" i="2"/>
  <c r="P25" i="2"/>
  <c r="Y24" i="2"/>
  <c r="X24" i="2"/>
  <c r="W24" i="2"/>
  <c r="V24" i="2"/>
  <c r="U24" i="2"/>
  <c r="S24" i="2"/>
  <c r="R24" i="2"/>
  <c r="Q24" i="2"/>
  <c r="P24" i="2"/>
  <c r="Y23" i="2"/>
  <c r="X23" i="2"/>
  <c r="W23" i="2"/>
  <c r="V23" i="2"/>
  <c r="U23" i="2"/>
  <c r="S23" i="2"/>
  <c r="R23" i="2"/>
  <c r="Q23" i="2"/>
  <c r="P23" i="2"/>
  <c r="Y22" i="2"/>
  <c r="X22" i="2"/>
  <c r="W22" i="2"/>
  <c r="V22" i="2"/>
  <c r="U22" i="2"/>
  <c r="S22" i="2"/>
  <c r="R22" i="2"/>
  <c r="Q22" i="2"/>
  <c r="P22" i="2"/>
  <c r="Y20" i="2"/>
  <c r="X20" i="2"/>
  <c r="W20" i="2"/>
  <c r="V20" i="2"/>
  <c r="U20" i="2"/>
  <c r="S20" i="2"/>
  <c r="R20" i="2"/>
  <c r="Q20" i="2"/>
  <c r="P20" i="2"/>
  <c r="Y19" i="2"/>
  <c r="X19" i="2"/>
  <c r="W19" i="2"/>
  <c r="V19" i="2"/>
  <c r="U19" i="2"/>
  <c r="S19" i="2"/>
  <c r="R19" i="2"/>
  <c r="Q19" i="2"/>
  <c r="P19" i="2"/>
  <c r="Y18" i="2"/>
  <c r="X18" i="2"/>
  <c r="W18" i="2"/>
  <c r="V18" i="2"/>
  <c r="U18" i="2"/>
  <c r="S18" i="2"/>
  <c r="R18" i="2"/>
  <c r="Q18" i="2"/>
  <c r="P18" i="2"/>
  <c r="Y17" i="2"/>
  <c r="X17" i="2"/>
  <c r="W17" i="2"/>
  <c r="V17" i="2"/>
  <c r="U17" i="2"/>
  <c r="S17" i="2"/>
  <c r="R17" i="2"/>
  <c r="Q17" i="2"/>
  <c r="P17" i="2"/>
  <c r="Y16" i="2"/>
  <c r="X16" i="2"/>
  <c r="W16" i="2"/>
  <c r="V16" i="2"/>
  <c r="U16" i="2"/>
  <c r="S16" i="2"/>
  <c r="R16" i="2"/>
  <c r="Q16" i="2"/>
  <c r="P16" i="2"/>
  <c r="Y15" i="2"/>
  <c r="X15" i="2"/>
  <c r="W15" i="2"/>
  <c r="V15" i="2"/>
  <c r="U15" i="2"/>
  <c r="S15" i="2"/>
  <c r="R15" i="2"/>
  <c r="Q15" i="2"/>
  <c r="P15" i="2"/>
  <c r="Y14" i="2"/>
  <c r="X14" i="2"/>
  <c r="W14" i="2"/>
  <c r="V14" i="2"/>
  <c r="U14" i="2"/>
  <c r="S14" i="2"/>
  <c r="R14" i="2"/>
  <c r="Q14" i="2"/>
  <c r="P14" i="2"/>
  <c r="Y13" i="2"/>
  <c r="X13" i="2"/>
  <c r="W13" i="2"/>
  <c r="V13" i="2"/>
  <c r="U13" i="2"/>
  <c r="S13" i="2"/>
  <c r="R13" i="2"/>
  <c r="Q13" i="2"/>
  <c r="P13" i="2"/>
  <c r="Y12" i="2"/>
  <c r="X12" i="2"/>
  <c r="W12" i="2"/>
  <c r="V12" i="2"/>
  <c r="U12" i="2"/>
  <c r="S12" i="2"/>
  <c r="R12" i="2"/>
  <c r="Q12" i="2"/>
  <c r="P12" i="2"/>
  <c r="Y11" i="2"/>
  <c r="X11" i="2"/>
  <c r="W11" i="2"/>
  <c r="V11" i="2"/>
  <c r="U11" i="2"/>
  <c r="S11" i="2"/>
  <c r="R11" i="2"/>
  <c r="Q11" i="2"/>
  <c r="P11" i="2"/>
  <c r="Y10" i="2"/>
  <c r="X10" i="2"/>
  <c r="W10" i="2"/>
  <c r="V10" i="2"/>
  <c r="U10" i="2"/>
  <c r="S10" i="2"/>
  <c r="R10" i="2"/>
  <c r="Q10" i="2"/>
  <c r="P10" i="2"/>
  <c r="Y9" i="2"/>
  <c r="X9" i="2"/>
  <c r="W9" i="2"/>
  <c r="V9" i="2"/>
  <c r="U9" i="2"/>
  <c r="S9" i="2"/>
  <c r="R9" i="2"/>
  <c r="Q9" i="2"/>
  <c r="P9" i="2"/>
  <c r="Y8" i="2"/>
  <c r="X8" i="2"/>
  <c r="W8" i="2"/>
  <c r="V8" i="2"/>
  <c r="U8" i="2"/>
  <c r="S8" i="2"/>
  <c r="R8" i="2"/>
  <c r="Q8" i="2"/>
  <c r="P8" i="2"/>
  <c r="Y7" i="2"/>
  <c r="X7" i="2"/>
  <c r="W7" i="2"/>
  <c r="V7" i="2"/>
  <c r="U7" i="2"/>
  <c r="S7" i="2"/>
  <c r="R7" i="2"/>
  <c r="Q7" i="2"/>
  <c r="P7" i="2"/>
  <c r="Y6" i="2"/>
  <c r="X6" i="2"/>
  <c r="W6" i="2"/>
  <c r="V6" i="2"/>
  <c r="U6" i="2"/>
  <c r="S6" i="2"/>
  <c r="R6" i="2"/>
  <c r="Q6" i="2"/>
  <c r="P6" i="2"/>
  <c r="Y5" i="2"/>
  <c r="X5" i="2"/>
  <c r="W5" i="2"/>
  <c r="V5" i="2"/>
  <c r="U5" i="2"/>
  <c r="S5" i="2"/>
  <c r="R5" i="2"/>
  <c r="Q5" i="2"/>
  <c r="P5" i="2"/>
  <c r="X4" i="2"/>
  <c r="Y66" i="2"/>
  <c r="X66" i="2"/>
  <c r="W66" i="2"/>
  <c r="V66" i="2"/>
  <c r="U66" i="2"/>
  <c r="T66" i="2"/>
  <c r="S66" i="2"/>
  <c r="R66" i="2"/>
  <c r="Q66" i="2"/>
  <c r="P66" i="2"/>
  <c r="Y40" i="2"/>
  <c r="X40" i="2"/>
  <c r="W40" i="2"/>
  <c r="V40" i="2"/>
  <c r="U40" i="2"/>
  <c r="T40" i="2"/>
  <c r="S40" i="2"/>
  <c r="R40" i="2"/>
  <c r="Q40" i="2"/>
  <c r="P40" i="2"/>
  <c r="O40" i="2"/>
  <c r="Y21" i="2"/>
  <c r="X21" i="2"/>
  <c r="W21" i="2"/>
  <c r="Y26" i="2"/>
  <c r="X26" i="2"/>
  <c r="W26" i="2"/>
  <c r="V26" i="2"/>
  <c r="U26" i="2"/>
  <c r="T26" i="2"/>
  <c r="S26" i="2"/>
  <c r="R26" i="2"/>
  <c r="Q26" i="2"/>
  <c r="P26" i="2"/>
  <c r="O26" i="2"/>
  <c r="V21" i="2"/>
  <c r="U21" i="2"/>
  <c r="T21" i="2"/>
  <c r="S21" i="2"/>
  <c r="R21" i="2"/>
  <c r="Q21" i="2"/>
  <c r="P21" i="2"/>
  <c r="O21" i="2"/>
  <c r="Y4" i="2"/>
  <c r="W4" i="2"/>
  <c r="V4" i="2"/>
  <c r="U4" i="2"/>
  <c r="T4" i="2"/>
  <c r="P4" i="2"/>
  <c r="S4" i="2"/>
  <c r="R4" i="2"/>
  <c r="Q4" i="2"/>
  <c r="O4" i="2"/>
  <c r="Q70" i="2" l="1"/>
  <c r="H109" i="1" s="1"/>
  <c r="Y70" i="2"/>
  <c r="P109" i="1" s="1"/>
  <c r="U70" i="2"/>
  <c r="L109" i="1" s="1"/>
  <c r="R70" i="2"/>
  <c r="I109" i="1" s="1"/>
  <c r="S70" i="2"/>
  <c r="J109" i="1" s="1"/>
  <c r="P70" i="2"/>
  <c r="G109" i="1" s="1"/>
  <c r="X70" i="2"/>
  <c r="O109" i="1" s="1"/>
  <c r="O70" i="2"/>
  <c r="F109" i="1" s="1"/>
  <c r="W70" i="2"/>
  <c r="N109" i="1" s="1"/>
  <c r="T70" i="2"/>
  <c r="K109" i="1" s="1"/>
  <c r="V63" i="2"/>
  <c r="V70" i="2" s="1"/>
  <c r="M109" i="1" s="1"/>
  <c r="AA4" i="2"/>
  <c r="AA37" i="2"/>
  <c r="AA61" i="2"/>
  <c r="AA67" i="2"/>
  <c r="AA43" i="2"/>
  <c r="AA21" i="2"/>
  <c r="AB21" i="2" s="1"/>
  <c r="AA40" i="2"/>
  <c r="AA66" i="2"/>
  <c r="AB66" i="2" s="1"/>
  <c r="R19" i="1" l="1"/>
  <c r="Q19" i="1"/>
  <c r="S19" i="1" s="1"/>
  <c r="R36" i="1" l="1"/>
  <c r="Q36" i="1"/>
  <c r="S36" i="1" s="1"/>
  <c r="R74" i="1"/>
  <c r="Q74" i="1"/>
  <c r="S74" i="1" s="1"/>
  <c r="R73" i="1"/>
  <c r="Q73" i="1"/>
  <c r="R72" i="1"/>
  <c r="Q72" i="1"/>
  <c r="R71" i="1"/>
  <c r="Q71" i="1"/>
  <c r="R70" i="1"/>
  <c r="Q70" i="1"/>
  <c r="R84" i="1"/>
  <c r="Q84" i="1"/>
  <c r="S84" i="1" s="1"/>
  <c r="R83" i="1"/>
  <c r="Q83" i="1"/>
  <c r="R82" i="1"/>
  <c r="Q82" i="1"/>
  <c r="R81" i="1"/>
  <c r="Q81" i="1"/>
  <c r="R80" i="1"/>
  <c r="Q80" i="1"/>
  <c r="S80" i="1" s="1"/>
  <c r="R79" i="1"/>
  <c r="Q79" i="1"/>
  <c r="R78" i="1"/>
  <c r="Q78" i="1"/>
  <c r="R93" i="1"/>
  <c r="Q93" i="1"/>
  <c r="R92" i="1"/>
  <c r="Q92" i="1"/>
  <c r="R91" i="1"/>
  <c r="Q91" i="1"/>
  <c r="R90" i="1"/>
  <c r="Q90" i="1"/>
  <c r="R89" i="1"/>
  <c r="Q89" i="1"/>
  <c r="S89" i="1" s="1"/>
  <c r="R88" i="1"/>
  <c r="Q88" i="1"/>
  <c r="R87" i="1"/>
  <c r="Q87" i="1"/>
  <c r="R86" i="1"/>
  <c r="Q86" i="1"/>
  <c r="R85" i="1"/>
  <c r="Q85" i="1"/>
  <c r="S85" i="1" s="1"/>
  <c r="R77" i="1"/>
  <c r="Q77" i="1"/>
  <c r="R76" i="1"/>
  <c r="Q76" i="1"/>
  <c r="S76" i="1" s="1"/>
  <c r="R75" i="1"/>
  <c r="Q75" i="1"/>
  <c r="R69" i="1"/>
  <c r="Q69" i="1"/>
  <c r="S69" i="1" s="1"/>
  <c r="R68" i="1"/>
  <c r="Q68" i="1"/>
  <c r="R62" i="1"/>
  <c r="Q62" i="1"/>
  <c r="R64" i="1"/>
  <c r="Q64" i="1"/>
  <c r="R63" i="1"/>
  <c r="Q63" i="1"/>
  <c r="S63" i="1" s="1"/>
  <c r="R61" i="1"/>
  <c r="Q61" i="1"/>
  <c r="Q37" i="1"/>
  <c r="Q33" i="1"/>
  <c r="R33" i="1"/>
  <c r="Q34" i="1"/>
  <c r="R34" i="1"/>
  <c r="Q35" i="1"/>
  <c r="R35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S37" i="1" l="1"/>
  <c r="S78" i="1"/>
  <c r="S79" i="1"/>
  <c r="S70" i="1"/>
  <c r="S73" i="1"/>
  <c r="S93" i="1"/>
  <c r="S64" i="1"/>
  <c r="S75" i="1"/>
  <c r="S86" i="1"/>
  <c r="S90" i="1"/>
  <c r="S88" i="1"/>
  <c r="S87" i="1"/>
  <c r="S81" i="1"/>
  <c r="S92" i="1"/>
  <c r="S83" i="1"/>
  <c r="S72" i="1"/>
  <c r="S71" i="1"/>
  <c r="S77" i="1"/>
  <c r="S62" i="1"/>
  <c r="S61" i="1"/>
  <c r="S68" i="1"/>
  <c r="S91" i="1"/>
  <c r="S82" i="1"/>
  <c r="S41" i="1"/>
  <c r="S35" i="1"/>
  <c r="S34" i="1"/>
  <c r="S46" i="1"/>
  <c r="S33" i="1"/>
  <c r="S43" i="1"/>
  <c r="S38" i="1"/>
  <c r="S40" i="1"/>
  <c r="S39" i="1"/>
  <c r="S44" i="1"/>
  <c r="S47" i="1"/>
  <c r="S45" i="1"/>
  <c r="S42" i="1"/>
  <c r="R59" i="1" l="1"/>
  <c r="R60" i="1"/>
  <c r="Q59" i="1"/>
  <c r="Q60" i="1"/>
  <c r="S60" i="1" l="1"/>
  <c r="S59" i="1"/>
  <c r="R21" i="1"/>
  <c r="R22" i="1"/>
  <c r="R23" i="1"/>
  <c r="R24" i="1"/>
  <c r="R25" i="1"/>
  <c r="R26" i="1"/>
  <c r="Q21" i="1"/>
  <c r="Q22" i="1"/>
  <c r="Q23" i="1"/>
  <c r="Q24" i="1"/>
  <c r="Q25" i="1"/>
  <c r="Q26" i="1"/>
  <c r="F20" i="1"/>
  <c r="F51" i="1" s="1"/>
  <c r="R109" i="1"/>
  <c r="Q109" i="1"/>
  <c r="R105" i="1"/>
  <c r="Q105" i="1"/>
  <c r="R65" i="1"/>
  <c r="Q65" i="1"/>
  <c r="R18" i="1"/>
  <c r="Q18" i="1"/>
  <c r="Q110" i="1"/>
  <c r="R58" i="1"/>
  <c r="Q58" i="1"/>
  <c r="S23" i="1" l="1"/>
  <c r="S26" i="1"/>
  <c r="S22" i="1"/>
  <c r="S25" i="1"/>
  <c r="S21" i="1"/>
  <c r="S24" i="1"/>
  <c r="S105" i="1"/>
  <c r="R111" i="1"/>
  <c r="Q111" i="1"/>
  <c r="Q112" i="1" s="1"/>
  <c r="R110" i="1"/>
  <c r="S65" i="1"/>
  <c r="S58" i="1"/>
  <c r="R66" i="1"/>
  <c r="R67" i="1"/>
  <c r="Q66" i="1"/>
  <c r="Q67" i="1"/>
  <c r="S66" i="1" l="1"/>
  <c r="S67" i="1"/>
  <c r="R112" i="1"/>
  <c r="S109" i="1" l="1"/>
  <c r="Q20" i="1" l="1"/>
  <c r="Q27" i="1"/>
  <c r="Q28" i="1"/>
  <c r="Q29" i="1"/>
  <c r="Q30" i="1"/>
  <c r="Q31" i="1"/>
  <c r="Q32" i="1"/>
  <c r="Q48" i="1"/>
  <c r="Q50" i="1"/>
  <c r="R20" i="1"/>
  <c r="R27" i="1"/>
  <c r="R28" i="1"/>
  <c r="R29" i="1"/>
  <c r="R30" i="1"/>
  <c r="R31" i="1"/>
  <c r="R32" i="1"/>
  <c r="R48" i="1"/>
  <c r="R50" i="1"/>
  <c r="Q51" i="1" l="1"/>
  <c r="S18" i="1"/>
  <c r="S28" i="1"/>
  <c r="S29" i="1"/>
  <c r="S20" i="1"/>
  <c r="S48" i="1"/>
  <c r="S50" i="1"/>
  <c r="S32" i="1"/>
  <c r="S30" i="1"/>
  <c r="S27" i="1"/>
  <c r="S31" i="1"/>
  <c r="F95" i="1"/>
  <c r="F98" i="1" s="1"/>
  <c r="F54" i="1"/>
  <c r="G112" i="1"/>
  <c r="H112" i="1"/>
  <c r="I112" i="1"/>
  <c r="J112" i="1"/>
  <c r="K112" i="1"/>
  <c r="L112" i="1"/>
  <c r="M112" i="1"/>
  <c r="N112" i="1"/>
  <c r="O112" i="1"/>
  <c r="P112" i="1"/>
  <c r="F112" i="1"/>
  <c r="F55" i="1" l="1"/>
  <c r="S51" i="1"/>
  <c r="S110" i="1"/>
  <c r="S111" i="1"/>
  <c r="S112" i="1" l="1"/>
  <c r="F101" i="1"/>
  <c r="G51" i="1" l="1"/>
  <c r="G54" i="1" s="1"/>
  <c r="H51" i="1"/>
  <c r="H54" i="1" s="1"/>
  <c r="I51" i="1"/>
  <c r="I54" i="1" s="1"/>
  <c r="J51" i="1"/>
  <c r="J54" i="1" s="1"/>
  <c r="K51" i="1"/>
  <c r="K54" i="1" s="1"/>
  <c r="L51" i="1"/>
  <c r="M51" i="1"/>
  <c r="M54" i="1" s="1"/>
  <c r="N51" i="1"/>
  <c r="N54" i="1" s="1"/>
  <c r="O51" i="1"/>
  <c r="O54" i="1" s="1"/>
  <c r="P51" i="1"/>
  <c r="P54" i="1" s="1"/>
  <c r="L54" i="1" l="1"/>
  <c r="J55" i="1"/>
  <c r="I55" i="1"/>
  <c r="G55" i="1"/>
  <c r="M55" i="1"/>
  <c r="K55" i="1"/>
  <c r="P55" i="1"/>
  <c r="H55" i="1"/>
  <c r="O55" i="1"/>
  <c r="N55" i="1"/>
  <c r="Q54" i="1"/>
  <c r="L55" i="1" l="1"/>
  <c r="R55" i="1" s="1"/>
  <c r="Q55" i="1"/>
  <c r="R54" i="1"/>
  <c r="S54" i="1" s="1"/>
  <c r="G95" i="1"/>
  <c r="H95" i="1"/>
  <c r="I95" i="1"/>
  <c r="J95" i="1"/>
  <c r="K95" i="1"/>
  <c r="L95" i="1"/>
  <c r="M95" i="1"/>
  <c r="N95" i="1"/>
  <c r="O95" i="1"/>
  <c r="P95" i="1"/>
  <c r="L98" i="1" l="1"/>
  <c r="L100" i="1" s="1"/>
  <c r="R95" i="1"/>
  <c r="S55" i="1"/>
  <c r="P98" i="1"/>
  <c r="P100" i="1" s="1"/>
  <c r="O98" i="1"/>
  <c r="O100" i="1" s="1"/>
  <c r="N98" i="1"/>
  <c r="N100" i="1" s="1"/>
  <c r="K98" i="1"/>
  <c r="K100" i="1" s="1"/>
  <c r="I98" i="1"/>
  <c r="I100" i="1" s="1"/>
  <c r="H98" i="1"/>
  <c r="H100" i="1" s="1"/>
  <c r="G98" i="1"/>
  <c r="G100" i="1" s="1"/>
  <c r="G101" i="1" s="1"/>
  <c r="M98" i="1"/>
  <c r="M100" i="1" s="1"/>
  <c r="J98" i="1"/>
  <c r="J100" i="1" s="1"/>
  <c r="S95" i="1" l="1"/>
  <c r="R100" i="1"/>
  <c r="Q100" i="1"/>
  <c r="R98" i="1"/>
  <c r="Q98" i="1"/>
  <c r="I101" i="1"/>
  <c r="P101" i="1"/>
  <c r="H101" i="1"/>
  <c r="S98" i="1" l="1"/>
  <c r="K101" i="1"/>
  <c r="J101" i="1"/>
  <c r="M101" i="1"/>
  <c r="N101" i="1"/>
  <c r="O101" i="1"/>
  <c r="L101" i="1"/>
  <c r="R51" i="1"/>
  <c r="R101" i="1" l="1"/>
  <c r="S101" i="1"/>
  <c r="Q101" i="1"/>
  <c r="AB40" i="2"/>
  <c r="AB37" i="2"/>
  <c r="AB43" i="2"/>
  <c r="AB61" i="2"/>
  <c r="AB67" i="2" l="1"/>
  <c r="AB4" i="2"/>
  <c r="AA5" i="2"/>
  <c r="AA14" i="2"/>
  <c r="AB14" i="2" s="1"/>
  <c r="AA25" i="2"/>
  <c r="AB25" i="2" s="1"/>
  <c r="AA12" i="2"/>
  <c r="AB12" i="2" s="1"/>
  <c r="AA17" i="2"/>
  <c r="AB17" i="2" s="1"/>
  <c r="AA7" i="2"/>
  <c r="AB7" i="2" s="1"/>
  <c r="AA18" i="2"/>
  <c r="AB18" i="2" s="1"/>
  <c r="AA6" i="2"/>
  <c r="AB6" i="2" s="1"/>
  <c r="AA16" i="2"/>
  <c r="AB16" i="2" s="1"/>
  <c r="AA8" i="2"/>
  <c r="AB8" i="2" s="1"/>
  <c r="AA9" i="2"/>
  <c r="AB9" i="2" s="1"/>
  <c r="AA10" i="2"/>
  <c r="AB10" i="2" s="1"/>
  <c r="AA11" i="2"/>
  <c r="AB11" i="2" s="1"/>
  <c r="AA24" i="2"/>
  <c r="AB24" i="2" s="1"/>
  <c r="AA20" i="2"/>
  <c r="AB20" i="2" s="1"/>
  <c r="AA15" i="2"/>
  <c r="AB15" i="2" s="1"/>
  <c r="AA19" i="2"/>
  <c r="AB19" i="2" s="1"/>
  <c r="AA22" i="2"/>
  <c r="AB22" i="2" s="1"/>
  <c r="AA13" i="2"/>
  <c r="AB13" i="2" s="1"/>
  <c r="AA23" i="2"/>
  <c r="AB23" i="2" s="1"/>
  <c r="AA27" i="2"/>
  <c r="AB27" i="2" s="1"/>
  <c r="AA31" i="2"/>
  <c r="AB31" i="2" s="1"/>
  <c r="AA26" i="2"/>
  <c r="AB26" i="2" s="1"/>
  <c r="AA28" i="2"/>
  <c r="AB28" i="2" s="1"/>
  <c r="AA29" i="2"/>
  <c r="AB29" i="2" s="1"/>
  <c r="AA30" i="2"/>
  <c r="AB30" i="2" s="1"/>
  <c r="AA32" i="2"/>
  <c r="AB32" i="2" s="1"/>
  <c r="AA51" i="2"/>
  <c r="AB51" i="2" s="1"/>
  <c r="AA35" i="2"/>
  <c r="AB35" i="2" s="1"/>
  <c r="AA48" i="2"/>
  <c r="AB48" i="2" s="1"/>
  <c r="AA39" i="2"/>
  <c r="AB39" i="2" s="1"/>
  <c r="AA49" i="2"/>
  <c r="AB49" i="2" s="1"/>
  <c r="AA46" i="2"/>
  <c r="AB46" i="2" s="1"/>
  <c r="AA47" i="2"/>
  <c r="AB47" i="2" s="1"/>
  <c r="AA33" i="2"/>
  <c r="AB33" i="2" s="1"/>
  <c r="AA36" i="2"/>
  <c r="AB36" i="2" s="1"/>
  <c r="AA38" i="2"/>
  <c r="AB38" i="2" s="1"/>
  <c r="AA42" i="2"/>
  <c r="AB42" i="2" s="1"/>
  <c r="AA44" i="2"/>
  <c r="AB44" i="2" s="1"/>
  <c r="AA34" i="2"/>
  <c r="AB34" i="2" s="1"/>
  <c r="AA45" i="2"/>
  <c r="AB45" i="2" s="1"/>
  <c r="AA50" i="2"/>
  <c r="AB50" i="2" s="1"/>
  <c r="AA41" i="2"/>
  <c r="AB41" i="2" s="1"/>
  <c r="AA58" i="2"/>
  <c r="AB58" i="2" s="1"/>
  <c r="AA53" i="2"/>
  <c r="AB53" i="2" s="1"/>
  <c r="AA62" i="2"/>
  <c r="AB62" i="2" s="1"/>
  <c r="AA54" i="2"/>
  <c r="AB54" i="2" s="1"/>
  <c r="AA60" i="2"/>
  <c r="AB60" i="2" s="1"/>
  <c r="AA52" i="2"/>
  <c r="AB52" i="2" s="1"/>
  <c r="AA65" i="2"/>
  <c r="AB65" i="2" s="1"/>
  <c r="AA64" i="2"/>
  <c r="AB64" i="2" s="1"/>
  <c r="AA57" i="2"/>
  <c r="AB57" i="2" s="1"/>
  <c r="AA56" i="2"/>
  <c r="AB56" i="2" s="1"/>
  <c r="AA63" i="2"/>
  <c r="AB63" i="2" s="1"/>
  <c r="AA55" i="2"/>
  <c r="AB55" i="2" s="1"/>
  <c r="AA59" i="2"/>
  <c r="AB59" i="2" s="1"/>
  <c r="AA68" i="2"/>
  <c r="AB68" i="2" s="1"/>
  <c r="AA69" i="2"/>
  <c r="AB69" i="2" s="1"/>
  <c r="AB5" i="2" l="1"/>
  <c r="AA70" i="2"/>
  <c r="AB7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tc={59F282AB-DFA1-4A1D-ABDB-8A295DB0FAF9}</author>
  </authors>
  <commentList>
    <comment ref="B60" authorId="0" shapeId="0" xr:uid="{59F282AB-DFA1-4A1D-ABDB-8A295DB0FAF9}">
      <text>
        <t>[Trådad kommentar]
I din version av Excel kan du läsa den här trådade kommentaren, men eventuella ändringar i den tas bort om filen öppnas i en senare version av Excel. Läs mer: https://go.microsoft.com/fwlink/?linkid=870924
Kommentar:
    Våtsug
Utrustning kamera bevakning för LC
Kantvikpress (Kantpress)
Måla om sandsilon
Kuren spår 19
Stoftsug spår 35,36,37</t>
      </text>
    </comment>
  </commentList>
</comments>
</file>

<file path=xl/sharedStrings.xml><?xml version="1.0" encoding="utf-8"?>
<sst xmlns="http://schemas.openxmlformats.org/spreadsheetml/2006/main" count="19223" uniqueCount="1845">
  <si>
    <t>Kontaktuppgifter</t>
  </si>
  <si>
    <t>KF</t>
  </si>
  <si>
    <t>Är projektet av principiell karaktär och därför ska till KF (Sätt ett kryss)</t>
  </si>
  <si>
    <t>Bolag:</t>
  </si>
  <si>
    <t>Göteborgs Spårvägar AB</t>
  </si>
  <si>
    <t>Grön</t>
  </si>
  <si>
    <t xml:space="preserve">Har projektet positiva effekter på klimat och miljö? (Sätt ett kryss) </t>
  </si>
  <si>
    <t>Länk till stadens gröna ramverk</t>
  </si>
  <si>
    <t>Kontaktperson:</t>
  </si>
  <si>
    <t>Linda Rudenwall</t>
  </si>
  <si>
    <t>Kategori</t>
  </si>
  <si>
    <t>Ange siffra 1, 2 eller 3</t>
  </si>
  <si>
    <t>E-post:</t>
  </si>
  <si>
    <t>linda.rudenwall@sparvagen.goteborg.se</t>
  </si>
  <si>
    <t>1=</t>
  </si>
  <si>
    <t>Investeringsbeslut taget i styrelse/nämnd</t>
  </si>
  <si>
    <t>Tel:</t>
  </si>
  <si>
    <t xml:space="preserve"> 031-732 17 93</t>
  </si>
  <si>
    <t>2=</t>
  </si>
  <si>
    <t>Planerade, definierade investeringar, ej ännu tagna i styrelse/nämnd</t>
  </si>
  <si>
    <t>3=</t>
  </si>
  <si>
    <t>Odefinierade investeringar</t>
  </si>
  <si>
    <t xml:space="preserve">Styrelsebehandlat   </t>
  </si>
  <si>
    <t>Datum:</t>
  </si>
  <si>
    <t>(*)</t>
  </si>
  <si>
    <t>Ökad skuld: positivt tal, Minskad skuld: negativt tal</t>
  </si>
  <si>
    <t>(**)</t>
  </si>
  <si>
    <t xml:space="preserve">Om man angivit investeringsvolymer med fasta priser gör ni här en procentuell indexering till rörliga priser. </t>
  </si>
  <si>
    <r>
      <rPr>
        <i/>
        <sz val="12"/>
        <color theme="1"/>
        <rFont val="Calibri"/>
        <family val="2"/>
      </rPr>
      <t>Senaste inlämningsdatum</t>
    </r>
    <r>
      <rPr>
        <b/>
        <i/>
        <sz val="12"/>
        <color theme="1"/>
        <rFont val="Calibri"/>
        <family val="2"/>
      </rPr>
      <t>: 2021-12-31</t>
    </r>
  </si>
  <si>
    <t>Investeringsprognos för period 2022 + 2023 - 2032 (mnkr)</t>
  </si>
  <si>
    <t>(All inmatning görs i vita fält)</t>
  </si>
  <si>
    <r>
      <rPr>
        <b/>
        <sz val="14"/>
        <rFont val="Calibri"/>
        <family val="2"/>
        <scheme val="minor"/>
      </rPr>
      <t>NYINVESTERINGAR</t>
    </r>
    <r>
      <rPr>
        <b/>
        <sz val="13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(mnkr)</t>
    </r>
  </si>
  <si>
    <t xml:space="preserve"> KF           X</t>
  </si>
  <si>
    <t>Grön         X</t>
  </si>
  <si>
    <r>
      <rPr>
        <b/>
        <sz val="8"/>
        <rFont val="Calibri"/>
        <family val="2"/>
        <scheme val="minor"/>
      </rPr>
      <t xml:space="preserve">Kategori </t>
    </r>
    <r>
      <rPr>
        <b/>
        <sz val="10"/>
        <rFont val="Calibri"/>
        <family val="2"/>
        <scheme val="minor"/>
      </rPr>
      <t xml:space="preserve"> 1-3 </t>
    </r>
  </si>
  <si>
    <t>Totalt 2023-2027</t>
  </si>
  <si>
    <t>Totalt 2028-2032</t>
  </si>
  <si>
    <t>Totalt 2023-2032</t>
  </si>
  <si>
    <t>Område/Projekt</t>
  </si>
  <si>
    <t>Simulatorer</t>
  </si>
  <si>
    <t>Arkiv och Kontorsmöbler</t>
  </si>
  <si>
    <t>Agresso</t>
  </si>
  <si>
    <t>BI-utveckling</t>
  </si>
  <si>
    <t>3-d skrivare</t>
  </si>
  <si>
    <t>Adapter-A</t>
  </si>
  <si>
    <t>TrafikHändelse</t>
  </si>
  <si>
    <t>Video &amp; kamera system</t>
  </si>
  <si>
    <t>Dashcam</t>
  </si>
  <si>
    <t>Entreprenörshantering</t>
  </si>
  <si>
    <t>HR-lifecycle</t>
  </si>
  <si>
    <t>Vågsystem spår 32</t>
  </si>
  <si>
    <t>Fiberlaserskärmaskin</t>
  </si>
  <si>
    <t>Övr. verksamhetsmaskiner</t>
  </si>
  <si>
    <t>Arbetsplats boogierev. M31</t>
  </si>
  <si>
    <t>Livsförlägning M29</t>
  </si>
  <si>
    <t xml:space="preserve">Livsförlägning </t>
  </si>
  <si>
    <t>BRC 4 st</t>
  </si>
  <si>
    <t>Programmerare 6 st</t>
  </si>
  <si>
    <t>Maskiner och Verktyg fordon</t>
  </si>
  <si>
    <t>Hjullastare 5 ton Midjestyrd</t>
  </si>
  <si>
    <t>M4811 Växelstoppsaggregat</t>
  </si>
  <si>
    <t>FÖRSTUDIE NY BOCKEBOA</t>
  </si>
  <si>
    <t>Nya bevakningsstolar</t>
  </si>
  <si>
    <t>TLI</t>
  </si>
  <si>
    <t>Uppgradering Trafikalsystem Hastus</t>
  </si>
  <si>
    <t>Övrigt</t>
  </si>
  <si>
    <t xml:space="preserve">Summa Nyinvesteringar </t>
  </si>
  <si>
    <t>Rörliga priser (**)</t>
  </si>
  <si>
    <t>Ev. påslag index (+%)</t>
  </si>
  <si>
    <t>Summa Nyinvesteringar</t>
  </si>
  <si>
    <t>Egenfinansieringsgrad Nyinvesteringar</t>
  </si>
  <si>
    <r>
      <rPr>
        <b/>
        <sz val="14"/>
        <rFont val="Calibri"/>
        <family val="2"/>
        <scheme val="minor"/>
      </rPr>
      <t>REINVESTERINGAR</t>
    </r>
    <r>
      <rPr>
        <b/>
        <sz val="13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(mnkr)</t>
    </r>
  </si>
  <si>
    <t>Div. maskiner/inventarier, se kom.</t>
  </si>
  <si>
    <t>RSS 061 - Scania - Skenrens</t>
  </si>
  <si>
    <t>x</t>
  </si>
  <si>
    <t xml:space="preserve"> </t>
  </si>
  <si>
    <t>Slipbil Autech VM 8000</t>
  </si>
  <si>
    <t>CWO 402 -MB 818D - Smörj</t>
  </si>
  <si>
    <t>DCZ504 - Rekotrailer - Lätt Släpkärra</t>
  </si>
  <si>
    <t>KNR302 - Volvo FM - Skenrens</t>
  </si>
  <si>
    <t>Ers OUS 904 - MB Sprinter Vxlmek</t>
  </si>
  <si>
    <t>Rälsslipmaskin</t>
  </si>
  <si>
    <t>4347 Fräs Bomag - stor</t>
  </si>
  <si>
    <t>4543 Hjullastare Ahlmann</t>
  </si>
  <si>
    <t>4544 Hjullastare Ahlmann</t>
  </si>
  <si>
    <t>AXO596 - MAN -  Stor LB Service</t>
  </si>
  <si>
    <t>TSU022 - MAN -  Stor LB Service</t>
  </si>
  <si>
    <t>TOM467 - Volvo FL - Stor LB (tid Svets)</t>
  </si>
  <si>
    <t>MPC637 - Trane - Lätt Släpkärra</t>
  </si>
  <si>
    <t>FWO826 - Volvo FL -  Stor Svetsbil</t>
  </si>
  <si>
    <t>MSL055 - Volvo FL -  Stor Svetsbil</t>
  </si>
  <si>
    <t>M 4601 Makadamsug TINBIN</t>
  </si>
  <si>
    <t>M4806 Rälskap</t>
  </si>
  <si>
    <t>M4825 Bommar X 10st</t>
  </si>
  <si>
    <t>M4826 Paddor X 5 st</t>
  </si>
  <si>
    <t>M4828 Asfaltssåg 700 X 2 st</t>
  </si>
  <si>
    <t>EKY019 - Montagebil - tvåvägs</t>
  </si>
  <si>
    <t>OFB029 - Vw Transporter - Dubbelhytt</t>
  </si>
  <si>
    <t>Rälsborrmaskin</t>
  </si>
  <si>
    <t>XEU299 - Lastbil, tvåvägs</t>
  </si>
  <si>
    <t>WFX976 - Montagebil, tvåvägs</t>
  </si>
  <si>
    <t>EGN377 - Montagebil, tvåvägs</t>
  </si>
  <si>
    <t>Ny Borr och sågutrustning Ringön</t>
  </si>
  <si>
    <t>SFC568 - Hjullastare</t>
  </si>
  <si>
    <t>Förbättra arbetsmiljö i Syningsvagn 143</t>
  </si>
  <si>
    <t>Summa Reinvesteringar</t>
  </si>
  <si>
    <t xml:space="preserve">Summa Reinvesteringar </t>
  </si>
  <si>
    <t>TOTALT INVESTERINGAR</t>
  </si>
  <si>
    <t>Egenfinansieringsgrad Totalt Investeringar</t>
  </si>
  <si>
    <t>UPPLÅNINGSBEHOV (*)</t>
  </si>
  <si>
    <t>Totalt (mnkr)</t>
  </si>
  <si>
    <r>
      <t xml:space="preserve">KAPITALKOSTNADER </t>
    </r>
    <r>
      <rPr>
        <b/>
        <sz val="10"/>
        <rFont val="Calibri"/>
        <family val="2"/>
        <scheme val="minor"/>
      </rPr>
      <t>(mnkr)</t>
    </r>
    <r>
      <rPr>
        <b/>
        <sz val="12"/>
        <rFont val="Calibri"/>
        <family val="2"/>
        <scheme val="minor"/>
      </rPr>
      <t xml:space="preserve"> (Befintlig volym + prognos)</t>
    </r>
  </si>
  <si>
    <t>Avskrivning</t>
  </si>
  <si>
    <t>Räntekostnad</t>
  </si>
  <si>
    <t>Nedskrivning</t>
  </si>
  <si>
    <t>Summa kapitalkostnader</t>
  </si>
  <si>
    <t>AVSKRIVNING</t>
  </si>
  <si>
    <t>Status</t>
  </si>
  <si>
    <t>Antal år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</si>
  <si>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</si>
  <si>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</si>
  <si>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</si>
  <si>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</si>
  <si>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</si>
  <si>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</si>
  <si>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</si>
  <si>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</si>
  <si>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</si>
  <si>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</si>
  <si>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</si>
  <si>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år 2022</t>
  </si>
  <si>
    <t>år 2023</t>
  </si>
  <si>
    <t>år 2024</t>
  </si>
  <si>
    <t>år 2025</t>
  </si>
  <si>
    <t>år 2026</t>
  </si>
  <si>
    <t>år 2027</t>
  </si>
  <si>
    <t>år 2028</t>
  </si>
  <si>
    <t>år 2029</t>
  </si>
  <si>
    <t>år 2030</t>
  </si>
  <si>
    <t>år 2031</t>
  </si>
  <si>
    <t>år 2032</t>
  </si>
  <si>
    <t>&gt;10 år</t>
  </si>
  <si>
    <t>Summa</t>
  </si>
  <si>
    <t>Diff</t>
  </si>
  <si>
    <t>Kommentar</t>
  </si>
  <si>
    <t>NYINV</t>
  </si>
  <si>
    <t>Infrastruktur IT-stöd</t>
  </si>
  <si>
    <t>Trafikalplanerings utveckling</t>
  </si>
  <si>
    <t>Beräknas tas i bruk 230101, 230630, 240101</t>
  </si>
  <si>
    <t>REINV</t>
  </si>
  <si>
    <t>År</t>
  </si>
  <si>
    <t>Mkr</t>
  </si>
  <si>
    <t>Anl. - bokföringsvärde 01 (Budgetrapport)</t>
  </si>
  <si>
    <t>2021 december 20.</t>
  </si>
  <si>
    <t>Sida 1</t>
  </si>
  <si>
    <t>GSPV\STNI6153</t>
  </si>
  <si>
    <t>Avskrivningsregel: STANDARD</t>
  </si>
  <si>
    <t>Anläggningstillgång: Spärrad: Nej|Ja, Anl. datumfilter bokföring: 22-01-01..22-12-31</t>
  </si>
  <si>
    <t>Grupptotaler: Anl. indelningskod</t>
  </si>
  <si>
    <t>Nr</t>
  </si>
  <si>
    <t>Beskrivning</t>
  </si>
  <si>
    <t>Anskaffningskostnad 21-12-31</t>
  </si>
  <si>
    <t>Anskaffat i period</t>
  </si>
  <si>
    <t>Avyttring i period</t>
  </si>
  <si>
    <t>Anskaffningskostnad 22-12-31</t>
  </si>
  <si>
    <t>Avskrivning 21-12-31</t>
  </si>
  <si>
    <t>Avskrivning i period</t>
  </si>
  <si>
    <t>Avyttring Avskrivning i period</t>
  </si>
  <si>
    <t>Avskrivning 22-12-31</t>
  </si>
  <si>
    <t>Bokföringsvärde 21-12-31</t>
  </si>
  <si>
    <t>Bokföringsvärde 22-12-31</t>
  </si>
  <si>
    <t/>
  </si>
  <si>
    <t>BYGGNAD</t>
  </si>
  <si>
    <t>2236</t>
  </si>
  <si>
    <t>Byggnad Ringön 866:256</t>
  </si>
  <si>
    <t>2828</t>
  </si>
  <si>
    <t>Materialhall Ringön</t>
  </si>
  <si>
    <t>2829</t>
  </si>
  <si>
    <t>Växelhus Ringön</t>
  </si>
  <si>
    <t>2830</t>
  </si>
  <si>
    <t>Verkstadsbyggnad Ringön</t>
  </si>
  <si>
    <t>Grupptotal: BYGGNAD</t>
  </si>
  <si>
    <t>FORDON</t>
  </si>
  <si>
    <t>4027</t>
  </si>
  <si>
    <t>Slamsugningsfordon Chassi</t>
  </si>
  <si>
    <t>4028</t>
  </si>
  <si>
    <t>Slamsugningsf.Högtryck-Vattent</t>
  </si>
  <si>
    <t>4029</t>
  </si>
  <si>
    <t>Slamsugningsf. Slmasug &amp; Tank</t>
  </si>
  <si>
    <t>4030</t>
  </si>
  <si>
    <t>Smörjfordon Chassi</t>
  </si>
  <si>
    <t>4031</t>
  </si>
  <si>
    <t>Smörjfordon Underrede Järnhjul</t>
  </si>
  <si>
    <t>4032</t>
  </si>
  <si>
    <t>Smörjfordon Driftsdelar</t>
  </si>
  <si>
    <t>4069</t>
  </si>
  <si>
    <t>Hjullastare Tillägg</t>
  </si>
  <si>
    <t>4070</t>
  </si>
  <si>
    <t>4097</t>
  </si>
  <si>
    <t>Tyngre Servicebil</t>
  </si>
  <si>
    <t>4098</t>
  </si>
  <si>
    <t>Tyngre Servicefordon</t>
  </si>
  <si>
    <t>4154</t>
  </si>
  <si>
    <t>Kontaktledningsbil</t>
  </si>
  <si>
    <t>4162</t>
  </si>
  <si>
    <t>Skenrensningsbil</t>
  </si>
  <si>
    <t>4165</t>
  </si>
  <si>
    <t>Svetsfordon Till Spår</t>
  </si>
  <si>
    <t>4166</t>
  </si>
  <si>
    <t>4167</t>
  </si>
  <si>
    <t>Servicefordon Till Spår</t>
  </si>
  <si>
    <t>4243</t>
  </si>
  <si>
    <t>Jordningsbil Vw Trp T5 Pickup</t>
  </si>
  <si>
    <t>4273</t>
  </si>
  <si>
    <t>Lasbil Förråd</t>
  </si>
  <si>
    <t>4304</t>
  </si>
  <si>
    <t>Ersättare För Borst-Erik</t>
  </si>
  <si>
    <t>4316</t>
  </si>
  <si>
    <t>Tyngre Servicefordon (1)</t>
  </si>
  <si>
    <t>4317</t>
  </si>
  <si>
    <t>Hjullastare</t>
  </si>
  <si>
    <t>4319</t>
  </si>
  <si>
    <t>Stor Servicefordon</t>
  </si>
  <si>
    <t>4321</t>
  </si>
  <si>
    <t>Tyngre Servicefordon (2)</t>
  </si>
  <si>
    <t>4348</t>
  </si>
  <si>
    <t>Spårvagn 801  M29</t>
  </si>
  <si>
    <t>4349</t>
  </si>
  <si>
    <t>Spårvagn 802  M29</t>
  </si>
  <si>
    <t>4350</t>
  </si>
  <si>
    <t>Spårvagn 803 M29</t>
  </si>
  <si>
    <t>4351</t>
  </si>
  <si>
    <t>Spårvagn 804  M29</t>
  </si>
  <si>
    <t>4352</t>
  </si>
  <si>
    <t>Spårvagn 805  M29</t>
  </si>
  <si>
    <t>4353</t>
  </si>
  <si>
    <t>Spårvagn 806  M29</t>
  </si>
  <si>
    <t>4354</t>
  </si>
  <si>
    <t>Spårvagn 807  M29</t>
  </si>
  <si>
    <t>4355</t>
  </si>
  <si>
    <t>Spårvagn 808  M29</t>
  </si>
  <si>
    <t>4356</t>
  </si>
  <si>
    <t>Spårvagn 809  M29</t>
  </si>
  <si>
    <t>4357</t>
  </si>
  <si>
    <t>Spårvagn 810  M29</t>
  </si>
  <si>
    <t>4358</t>
  </si>
  <si>
    <t>Spårvagn 811  M29</t>
  </si>
  <si>
    <t>4359</t>
  </si>
  <si>
    <t>Spårvagn 812  M29</t>
  </si>
  <si>
    <t>4360</t>
  </si>
  <si>
    <t>Spårvagn 813  M29</t>
  </si>
  <si>
    <t>4361</t>
  </si>
  <si>
    <t>Spårvagn 814  M29</t>
  </si>
  <si>
    <t>4362</t>
  </si>
  <si>
    <t>Spårvagn 815  M29</t>
  </si>
  <si>
    <t>4363</t>
  </si>
  <si>
    <t>Spårvagn 816  M29</t>
  </si>
  <si>
    <t>4364</t>
  </si>
  <si>
    <t>Spårvagn 817  M29</t>
  </si>
  <si>
    <t>4365</t>
  </si>
  <si>
    <t>Spårvagn 818  M29</t>
  </si>
  <si>
    <t>4366</t>
  </si>
  <si>
    <t>Spårvagn 819  M29</t>
  </si>
  <si>
    <t>4367</t>
  </si>
  <si>
    <t>Spårvagn 820  M29</t>
  </si>
  <si>
    <t>4368</t>
  </si>
  <si>
    <t>Spårvagn 821  M29</t>
  </si>
  <si>
    <t>4369</t>
  </si>
  <si>
    <t>Spårvagn 822  M29</t>
  </si>
  <si>
    <t>4370</t>
  </si>
  <si>
    <t>Spårvagn 823  M29</t>
  </si>
  <si>
    <t>4371</t>
  </si>
  <si>
    <t>Spårvagn 824  M29</t>
  </si>
  <si>
    <t>4372</t>
  </si>
  <si>
    <t>Spårvagn 825  M29</t>
  </si>
  <si>
    <t>4373</t>
  </si>
  <si>
    <t>Spårvagn 826  M29</t>
  </si>
  <si>
    <t>4374</t>
  </si>
  <si>
    <t>Spårvagn 827  M29</t>
  </si>
  <si>
    <t>4375</t>
  </si>
  <si>
    <t>Spårvagn 828  M29</t>
  </si>
  <si>
    <t>4376</t>
  </si>
  <si>
    <t>Spårvagn 829  M29</t>
  </si>
  <si>
    <t>4377</t>
  </si>
  <si>
    <t>Spårvagn 830  M29</t>
  </si>
  <si>
    <t>4378</t>
  </si>
  <si>
    <t>Spårvagn 831  M29</t>
  </si>
  <si>
    <t>4379</t>
  </si>
  <si>
    <t>Spårvagn 832  M29</t>
  </si>
  <si>
    <t>4380</t>
  </si>
  <si>
    <t>Spårvagn 833  M29</t>
  </si>
  <si>
    <t>4381</t>
  </si>
  <si>
    <t>Spårvagn 834  M29</t>
  </si>
  <si>
    <t>4382</t>
  </si>
  <si>
    <t>Spårvagn 835  M29</t>
  </si>
  <si>
    <t>4383</t>
  </si>
  <si>
    <t>Spårvagn 836  M29</t>
  </si>
  <si>
    <t>4384</t>
  </si>
  <si>
    <t>Spårvagn 837  M29</t>
  </si>
  <si>
    <t>4385</t>
  </si>
  <si>
    <t>Spårvagn 838  M29</t>
  </si>
  <si>
    <t>4386</t>
  </si>
  <si>
    <t>Spårvagn 840  M29</t>
  </si>
  <si>
    <t>4387</t>
  </si>
  <si>
    <t>Spårvagn 841  M29</t>
  </si>
  <si>
    <t>4388</t>
  </si>
  <si>
    <t>Spårvagn 842  M29</t>
  </si>
  <si>
    <t>4389</t>
  </si>
  <si>
    <t>Spårvagn 843  M29</t>
  </si>
  <si>
    <t>4390</t>
  </si>
  <si>
    <t>Spårvagn 844  M29</t>
  </si>
  <si>
    <t>4391</t>
  </si>
  <si>
    <t>Spårvagn 845  M29</t>
  </si>
  <si>
    <t>4392</t>
  </si>
  <si>
    <t>Spårvagn 846  M29</t>
  </si>
  <si>
    <t>4393</t>
  </si>
  <si>
    <t>Spårvagn 847  M29</t>
  </si>
  <si>
    <t>4394</t>
  </si>
  <si>
    <t>Spårvagn 848  M29</t>
  </si>
  <si>
    <t>4395</t>
  </si>
  <si>
    <t>Spårvagn 849  M29</t>
  </si>
  <si>
    <t>4396</t>
  </si>
  <si>
    <t>Spårvagn 850  M29</t>
  </si>
  <si>
    <t>4397</t>
  </si>
  <si>
    <t>Spårvagn 851  M29</t>
  </si>
  <si>
    <t>4398</t>
  </si>
  <si>
    <t>Spårvagn 852  M29</t>
  </si>
  <si>
    <t>4399</t>
  </si>
  <si>
    <t>Spårvagn 853  M29</t>
  </si>
  <si>
    <t>4400</t>
  </si>
  <si>
    <t>Spårvagn 854  M29</t>
  </si>
  <si>
    <t>4401</t>
  </si>
  <si>
    <t>Spårvagn 855  M29</t>
  </si>
  <si>
    <t>4402</t>
  </si>
  <si>
    <t>Spårvagn 856  M29</t>
  </si>
  <si>
    <t>4403</t>
  </si>
  <si>
    <t>Spårvagn 857  M29</t>
  </si>
  <si>
    <t>4404</t>
  </si>
  <si>
    <t>Spårvagn 859  M29</t>
  </si>
  <si>
    <t>4405</t>
  </si>
  <si>
    <t>Spårvagn 860  M29</t>
  </si>
  <si>
    <t>4406</t>
  </si>
  <si>
    <t>Destinationsskyltar V 801  M29</t>
  </si>
  <si>
    <t>4407</t>
  </si>
  <si>
    <t>Destinationsskyltar V 802  M29</t>
  </si>
  <si>
    <t>4408</t>
  </si>
  <si>
    <t>Destinationsskyltar V 803  M29</t>
  </si>
  <si>
    <t>4409</t>
  </si>
  <si>
    <t>Destinationsskyltar V 804 M29</t>
  </si>
  <si>
    <t>4410</t>
  </si>
  <si>
    <t>Destinationsskyltar V 805 M29</t>
  </si>
  <si>
    <t>4411</t>
  </si>
  <si>
    <t>Destinationssklytar V 806 M29</t>
  </si>
  <si>
    <t>4412</t>
  </si>
  <si>
    <t>Destiantionsskyltar V 807 M29</t>
  </si>
  <si>
    <t>4413</t>
  </si>
  <si>
    <t>Destinationsskyltar V 808 M29</t>
  </si>
  <si>
    <t>4414</t>
  </si>
  <si>
    <t>Destinationsskyltar V 809 M29</t>
  </si>
  <si>
    <t>4415</t>
  </si>
  <si>
    <t>Destinationsskyltar V 810 M29</t>
  </si>
  <si>
    <t>4416</t>
  </si>
  <si>
    <t>Destinationsskyltar V 811 M29</t>
  </si>
  <si>
    <t>4417</t>
  </si>
  <si>
    <t>Destinationsskyltar V 812 M29</t>
  </si>
  <si>
    <t>4418</t>
  </si>
  <si>
    <t>Destinationsskyltar V 813 M29</t>
  </si>
  <si>
    <t>4419</t>
  </si>
  <si>
    <t>Destinationsskyltar V 814 M29</t>
  </si>
  <si>
    <t>4420</t>
  </si>
  <si>
    <t>Destinationsskyltar V 815 M29</t>
  </si>
  <si>
    <t>4421</t>
  </si>
  <si>
    <t>Destinationsskyltar V 816 M29</t>
  </si>
  <si>
    <t>4422</t>
  </si>
  <si>
    <t>Destinationsskyltar V 817 M29</t>
  </si>
  <si>
    <t>4423</t>
  </si>
  <si>
    <t>Destinationsskyltar V 818 M29</t>
  </si>
  <si>
    <t>4424</t>
  </si>
  <si>
    <t>Destinationsskyltar V 819 M29</t>
  </si>
  <si>
    <t>4425</t>
  </si>
  <si>
    <t>Destinationsskyltar V 820 M29</t>
  </si>
  <si>
    <t>4426</t>
  </si>
  <si>
    <t>Destinationsskyltar V 821 M29</t>
  </si>
  <si>
    <t>4427</t>
  </si>
  <si>
    <t>Destinationsskyltar V 822 M29</t>
  </si>
  <si>
    <t>4428</t>
  </si>
  <si>
    <t>Destinationsskyltar V 823 M29</t>
  </si>
  <si>
    <t>4429</t>
  </si>
  <si>
    <t>Destinationsskyltar V 824 M29</t>
  </si>
  <si>
    <t>4430</t>
  </si>
  <si>
    <t>Destinationsskyltar V 825 M29</t>
  </si>
  <si>
    <t>4431</t>
  </si>
  <si>
    <t>Destinationsskyltar V 826 M29</t>
  </si>
  <si>
    <t>4432</t>
  </si>
  <si>
    <t>Destinationsskyltar V 827 M29</t>
  </si>
  <si>
    <t>4433</t>
  </si>
  <si>
    <t>Destinationsskyltar V 828 M29</t>
  </si>
  <si>
    <t>4434</t>
  </si>
  <si>
    <t>Destinationsskyltar V 829 M29</t>
  </si>
  <si>
    <t>4435</t>
  </si>
  <si>
    <t>Destinationsskyltar V 830 M29</t>
  </si>
  <si>
    <t>4436</t>
  </si>
  <si>
    <t>Destinationsskyltar V 831 M29</t>
  </si>
  <si>
    <t>4437</t>
  </si>
  <si>
    <t>Destinationsskyltar V 832 M29</t>
  </si>
  <si>
    <t>4438</t>
  </si>
  <si>
    <t>Destinationsskyltar V 833 M29</t>
  </si>
  <si>
    <t>4439</t>
  </si>
  <si>
    <t>Destinationsskyltar V 834 M29</t>
  </si>
  <si>
    <t>4440</t>
  </si>
  <si>
    <t>Destinationsskyltar V 835 M29</t>
  </si>
  <si>
    <t>4441</t>
  </si>
  <si>
    <t>Destinationsskyltar V 836 M29</t>
  </si>
  <si>
    <t>4442</t>
  </si>
  <si>
    <t>Destinationsskyltar V 837 M29</t>
  </si>
  <si>
    <t>4443</t>
  </si>
  <si>
    <t>Destinationsskyltar V 838 M29</t>
  </si>
  <si>
    <t>4444</t>
  </si>
  <si>
    <t>Destinationsskyltar V 840 M29</t>
  </si>
  <si>
    <t>4445</t>
  </si>
  <si>
    <t>Destinationsskyltar V 841 M29</t>
  </si>
  <si>
    <t>4446</t>
  </si>
  <si>
    <t>Destinationsskyltat V 842 M29</t>
  </si>
  <si>
    <t>4447</t>
  </si>
  <si>
    <t>Destinationsskyltar V 843 M29</t>
  </si>
  <si>
    <t>4448</t>
  </si>
  <si>
    <t>Destinationsskyltar V 844 M29</t>
  </si>
  <si>
    <t>4449</t>
  </si>
  <si>
    <t>Destinationsskyltar V 845 M29</t>
  </si>
  <si>
    <t>4450</t>
  </si>
  <si>
    <t>Destinationsskyltar V 846 M29</t>
  </si>
  <si>
    <t>4451</t>
  </si>
  <si>
    <t>Destinationsskyltar V 847 M29</t>
  </si>
  <si>
    <t>4452</t>
  </si>
  <si>
    <t>Destinationsskyltar V 848 M29</t>
  </si>
  <si>
    <t>4453</t>
  </si>
  <si>
    <t>Destinationsskyltar V 849 M29</t>
  </si>
  <si>
    <t>4454</t>
  </si>
  <si>
    <t>Destinationsskyltar V 850 M29</t>
  </si>
  <si>
    <t>4455</t>
  </si>
  <si>
    <t>Destinationsskyltar V 851 M29</t>
  </si>
  <si>
    <t>4456</t>
  </si>
  <si>
    <t>Destinationsskyltar V 852 M29</t>
  </si>
  <si>
    <t>4457</t>
  </si>
  <si>
    <t>Destinationsskyltar V 853 M29</t>
  </si>
  <si>
    <t>4458</t>
  </si>
  <si>
    <t>Destinationsskyltar V 854 M29</t>
  </si>
  <si>
    <t>4459</t>
  </si>
  <si>
    <t>Destinationsskyltar V 855 M29</t>
  </si>
  <si>
    <t>4460</t>
  </si>
  <si>
    <t>Destinationsskyltar V 856 M29</t>
  </si>
  <si>
    <t>4461</t>
  </si>
  <si>
    <t>Destinationsskyltar V 857 M29</t>
  </si>
  <si>
    <t>4462</t>
  </si>
  <si>
    <t>Destinationsskyltar V 859 M29</t>
  </si>
  <si>
    <t>4463</t>
  </si>
  <si>
    <t>Destinationsskyltar V 860 M29</t>
  </si>
  <si>
    <t>4464</t>
  </si>
  <si>
    <t>Parallelldörrar V 801 M29</t>
  </si>
  <si>
    <t>4465</t>
  </si>
  <si>
    <t>Parallelldörrar V 802 M29</t>
  </si>
  <si>
    <t>4466</t>
  </si>
  <si>
    <t>Parallelldörrar V 803 M29</t>
  </si>
  <si>
    <t>4467</t>
  </si>
  <si>
    <t>Parallelldörrar V 804 M29</t>
  </si>
  <si>
    <t>4468</t>
  </si>
  <si>
    <t>Parallelldörrar V 805 M29</t>
  </si>
  <si>
    <t>4469</t>
  </si>
  <si>
    <t>Parallelldörrar V 806 M29</t>
  </si>
  <si>
    <t>4470</t>
  </si>
  <si>
    <t>Parallelldörrar V 807 M29</t>
  </si>
  <si>
    <t>4471</t>
  </si>
  <si>
    <t>Parallelldörrar V 808 M29</t>
  </si>
  <si>
    <t>4472</t>
  </si>
  <si>
    <t>Parallelldörrar V 809 M29</t>
  </si>
  <si>
    <t>4473</t>
  </si>
  <si>
    <t>Parallelldörrar V 810 M29</t>
  </si>
  <si>
    <t>4474</t>
  </si>
  <si>
    <t>Parallelldörrar V 811 M29</t>
  </si>
  <si>
    <t>4475</t>
  </si>
  <si>
    <t>Parallelldörrar V 812 M29</t>
  </si>
  <si>
    <t>4476</t>
  </si>
  <si>
    <t>Parallelldörrar V 813 M29</t>
  </si>
  <si>
    <t>4477</t>
  </si>
  <si>
    <t>Parallelldörrar V 814 M29</t>
  </si>
  <si>
    <t>4478</t>
  </si>
  <si>
    <t>Parallelldörrar V 815 M29</t>
  </si>
  <si>
    <t>4479</t>
  </si>
  <si>
    <t>Parallelldörrar V 816 M29</t>
  </si>
  <si>
    <t>4480</t>
  </si>
  <si>
    <t>Parallelldörrar V 817 M29</t>
  </si>
  <si>
    <t>4481</t>
  </si>
  <si>
    <t>Parallelldörrar V 818 M29</t>
  </si>
  <si>
    <t>4482</t>
  </si>
  <si>
    <t>Parallelldörrar V 819 M29</t>
  </si>
  <si>
    <t>4483</t>
  </si>
  <si>
    <t>Parallelldörrar V 820 M29</t>
  </si>
  <si>
    <t>4484</t>
  </si>
  <si>
    <t>Parallelldörrar V 821 M29</t>
  </si>
  <si>
    <t>4485</t>
  </si>
  <si>
    <t>Parallelldörrar V 822 M29</t>
  </si>
  <si>
    <t>4486</t>
  </si>
  <si>
    <t>Parallelldörrar V 823 M29</t>
  </si>
  <si>
    <t>4487</t>
  </si>
  <si>
    <t>Parallelldörrar V 824 M29</t>
  </si>
  <si>
    <t>4488</t>
  </si>
  <si>
    <t>Parallelldörrar V 825 M29</t>
  </si>
  <si>
    <t>4489</t>
  </si>
  <si>
    <t>Parallelldörrar V 826 M29</t>
  </si>
  <si>
    <t>4490</t>
  </si>
  <si>
    <t>Parallelldörrar V 827 M29</t>
  </si>
  <si>
    <t>4491</t>
  </si>
  <si>
    <t>Parallelldörrar V 828 M29</t>
  </si>
  <si>
    <t>4492</t>
  </si>
  <si>
    <t>Parallelldörrar V 829 M29</t>
  </si>
  <si>
    <t>4493</t>
  </si>
  <si>
    <t>Parallelldörrar V 830 M29</t>
  </si>
  <si>
    <t>4494</t>
  </si>
  <si>
    <t>Parallelldörrar V 831 M29</t>
  </si>
  <si>
    <t>4495</t>
  </si>
  <si>
    <t>Parallelldörrar V 832 M29</t>
  </si>
  <si>
    <t>4496</t>
  </si>
  <si>
    <t>Parallelldörrar V 833 M29</t>
  </si>
  <si>
    <t>4497</t>
  </si>
  <si>
    <t>Parallelldörrar V 834 M29</t>
  </si>
  <si>
    <t>4498</t>
  </si>
  <si>
    <t>Parallelldörrar V 835 M29</t>
  </si>
  <si>
    <t>4499</t>
  </si>
  <si>
    <t>Parallelldörrar V 836 M29</t>
  </si>
  <si>
    <t>4500</t>
  </si>
  <si>
    <t>Parallelldörrar V 837 M29</t>
  </si>
  <si>
    <t>4501</t>
  </si>
  <si>
    <t>Parallelldörrar V 838 M29</t>
  </si>
  <si>
    <t>4502</t>
  </si>
  <si>
    <t>Parallelldörrar V 840 M29</t>
  </si>
  <si>
    <t>4503</t>
  </si>
  <si>
    <t>Parallelldörrar V 841 M29</t>
  </si>
  <si>
    <t>4504</t>
  </si>
  <si>
    <t>Parallelldörrar V 842 M29</t>
  </si>
  <si>
    <t>4505</t>
  </si>
  <si>
    <t>Parallelldörrar V 843 M29</t>
  </si>
  <si>
    <t>4506</t>
  </si>
  <si>
    <t>Parallelldörrar V 844 M29</t>
  </si>
  <si>
    <t>4507</t>
  </si>
  <si>
    <t>Parallelldörrar V 845 M29</t>
  </si>
  <si>
    <t>4508</t>
  </si>
  <si>
    <t>Parallelldörrar V 846 M29</t>
  </si>
  <si>
    <t>4509</t>
  </si>
  <si>
    <t>Parallelldörrar V 847 M29</t>
  </si>
  <si>
    <t>4510</t>
  </si>
  <si>
    <t>Parallelldörrar V 848 M29</t>
  </si>
  <si>
    <t>4511</t>
  </si>
  <si>
    <t>Parallelldörrar V 849 M29</t>
  </si>
  <si>
    <t>4512</t>
  </si>
  <si>
    <t>Parallelldörrar V 850 M29</t>
  </si>
  <si>
    <t>4513</t>
  </si>
  <si>
    <t>Parallelldörrar V 851 M29</t>
  </si>
  <si>
    <t>4514</t>
  </si>
  <si>
    <t>Parallelldörrar V 852 M29</t>
  </si>
  <si>
    <t>4515</t>
  </si>
  <si>
    <t>Parallelldörrar V 853 M29</t>
  </si>
  <si>
    <t>4516</t>
  </si>
  <si>
    <t>Parallelldörrar V 854 M29</t>
  </si>
  <si>
    <t>4517</t>
  </si>
  <si>
    <t>Parallelldörrar V 855 M29</t>
  </si>
  <si>
    <t>4518</t>
  </si>
  <si>
    <t>Parallelldörrar V 856 M29</t>
  </si>
  <si>
    <t>4519</t>
  </si>
  <si>
    <t>Parallelldörrar V 857 M29</t>
  </si>
  <si>
    <t>4520</t>
  </si>
  <si>
    <t>Parallelldörrar V 858 M29</t>
  </si>
  <si>
    <t>4521</t>
  </si>
  <si>
    <t>Parallelldörrar V 860 M29</t>
  </si>
  <si>
    <t>4581</t>
  </si>
  <si>
    <t>Spårvagn Nr 753 M28</t>
  </si>
  <si>
    <t>4582</t>
  </si>
  <si>
    <t>Spårvagn Nr 734 M28</t>
  </si>
  <si>
    <t>4583</t>
  </si>
  <si>
    <t>Spårvagn Nr 707 M28</t>
  </si>
  <si>
    <t>4584</t>
  </si>
  <si>
    <t>Spårvagn Nr 768 M28</t>
  </si>
  <si>
    <t>4585</t>
  </si>
  <si>
    <t>Spårvagn Nr 757 M28</t>
  </si>
  <si>
    <t>4586</t>
  </si>
  <si>
    <t>Spårvagn Nr 717 M28</t>
  </si>
  <si>
    <t>4587</t>
  </si>
  <si>
    <t>Spårvagn Nr 718 M28</t>
  </si>
  <si>
    <t>4588</t>
  </si>
  <si>
    <t>Spårvagn Nr 728 M28</t>
  </si>
  <si>
    <t>4589</t>
  </si>
  <si>
    <t>Spårvagn Nr 767 M28</t>
  </si>
  <si>
    <t>4590</t>
  </si>
  <si>
    <t>Spårvagn Nr 706 M28</t>
  </si>
  <si>
    <t>4591</t>
  </si>
  <si>
    <t>Spårvagn Nr 716 M28</t>
  </si>
  <si>
    <t>4592</t>
  </si>
  <si>
    <t>Spårvagn Nr 701 M28</t>
  </si>
  <si>
    <t>4593</t>
  </si>
  <si>
    <t>Spårvagn Nr 760 M28</t>
  </si>
  <si>
    <t>4594</t>
  </si>
  <si>
    <t>Spårvagn Nr 715 M28</t>
  </si>
  <si>
    <t>4595</t>
  </si>
  <si>
    <t>Spårvagn Nr 731 M28</t>
  </si>
  <si>
    <t>4596</t>
  </si>
  <si>
    <t>Spårvagn Nr 735 M28</t>
  </si>
  <si>
    <t>4597</t>
  </si>
  <si>
    <t>Spårvagn Nr 720 M28</t>
  </si>
  <si>
    <t>4598</t>
  </si>
  <si>
    <t>Spårvagn Nr 714 M28</t>
  </si>
  <si>
    <t>4599</t>
  </si>
  <si>
    <t>Spårvagn Nr 713 M28</t>
  </si>
  <si>
    <t>S1272</t>
  </si>
  <si>
    <t>Släpkärra Nr 141</t>
  </si>
  <si>
    <t>S1275</t>
  </si>
  <si>
    <t>Släpkärra Ok-Biva Nr 153</t>
  </si>
  <si>
    <t>S2038</t>
  </si>
  <si>
    <t>Räffelmätutrustning Bantekni</t>
  </si>
  <si>
    <t>S2419</t>
  </si>
  <si>
    <t>Syningsvagn 143</t>
  </si>
  <si>
    <t>S2475</t>
  </si>
  <si>
    <t>Elverk Till Svetsbilar</t>
  </si>
  <si>
    <t>S2752</t>
  </si>
  <si>
    <t>Montagebil Volvo Fl615, Nr 98</t>
  </si>
  <si>
    <t>S2916</t>
  </si>
  <si>
    <t>Montagebil Volvo Fm9, Nr 94</t>
  </si>
  <si>
    <t>S3068</t>
  </si>
  <si>
    <t>Lastbil Volvo Fm9, Nr 69</t>
  </si>
  <si>
    <t>S3285</t>
  </si>
  <si>
    <t>Spårgå Flak Bantekn Spår Drift</t>
  </si>
  <si>
    <t>S3317</t>
  </si>
  <si>
    <t>Slipbil Auteclh Vm8000 Bantekn</t>
  </si>
  <si>
    <t>S7002</t>
  </si>
  <si>
    <t>Mercedes Benz Sprinter 516Cdi</t>
  </si>
  <si>
    <t>S7003</t>
  </si>
  <si>
    <t>Mercedes Benz 516Cdi Påbyggnad</t>
  </si>
  <si>
    <t>S7017</t>
  </si>
  <si>
    <t>Skenrensningsbil Scania</t>
  </si>
  <si>
    <t>S7029</t>
  </si>
  <si>
    <t>Motorvagn M1   Nr 15</t>
  </si>
  <si>
    <t>S7030</t>
  </si>
  <si>
    <t>Motorvagn  M4   Nr 43</t>
  </si>
  <si>
    <t>S7031</t>
  </si>
  <si>
    <t>Motorvagn M5  Nr 92</t>
  </si>
  <si>
    <t>S7032</t>
  </si>
  <si>
    <t>Motorvagn M5  Nr 129</t>
  </si>
  <si>
    <t>S7033</t>
  </si>
  <si>
    <t>Motorvagn M5  Nr 133</t>
  </si>
  <si>
    <t>S7034</t>
  </si>
  <si>
    <t>Motorvagn M8  Nr 302</t>
  </si>
  <si>
    <t>S7035</t>
  </si>
  <si>
    <t>Motorvagn Mb01  Nr 208</t>
  </si>
  <si>
    <t>S7036</t>
  </si>
  <si>
    <t>Motorvagn M22  Nr 211</t>
  </si>
  <si>
    <t>S7037</t>
  </si>
  <si>
    <t>Motorvagn M23  Nr 15</t>
  </si>
  <si>
    <t>S7038</t>
  </si>
  <si>
    <t>Motorvagn M23  Nr 61</t>
  </si>
  <si>
    <t>S7039</t>
  </si>
  <si>
    <t>Motorvagn M23  Br 63</t>
  </si>
  <si>
    <t>S7040</t>
  </si>
  <si>
    <t>Motorvagn M25  Nr 582</t>
  </si>
  <si>
    <t>S7041</t>
  </si>
  <si>
    <t>Motorvagn M25  Nr 606</t>
  </si>
  <si>
    <t>S7042</t>
  </si>
  <si>
    <t>Motorvagn M25  Nr 621</t>
  </si>
  <si>
    <t>S7043</t>
  </si>
  <si>
    <t>Motorvagn M30  Nr 100</t>
  </si>
  <si>
    <t>S7044</t>
  </si>
  <si>
    <t>Släpvagn S6  Nr 507</t>
  </si>
  <si>
    <t>S7045</t>
  </si>
  <si>
    <t>Släpvagn S8   Nr 240</t>
  </si>
  <si>
    <t>S7046</t>
  </si>
  <si>
    <t>Släpvagn S24  Nr 371</t>
  </si>
  <si>
    <t>S7047</t>
  </si>
  <si>
    <t>Släpvagn S26  Nr 336</t>
  </si>
  <si>
    <t>S7048</t>
  </si>
  <si>
    <t>Släpvagn S27 Nr 423</t>
  </si>
  <si>
    <t>S7049</t>
  </si>
  <si>
    <t>Arbetsvagn M20  Nr 117</t>
  </si>
  <si>
    <t>S7050</t>
  </si>
  <si>
    <t>Arbetsvagn Lok</t>
  </si>
  <si>
    <t>S7051</t>
  </si>
  <si>
    <t>Arbetsvagnar Xxvii</t>
  </si>
  <si>
    <t>S7052</t>
  </si>
  <si>
    <t>Avställd Vagn M20  Nr 71</t>
  </si>
  <si>
    <t>S7053</t>
  </si>
  <si>
    <t>Avställd Vagn M20  Nr 115</t>
  </si>
  <si>
    <t>S7054</t>
  </si>
  <si>
    <t>Avställd Vagn M20  Nr 120</t>
  </si>
  <si>
    <t>S7055</t>
  </si>
  <si>
    <t>Avställd Vagn S27  Nr 425</t>
  </si>
  <si>
    <t>S7056</t>
  </si>
  <si>
    <t>Avställd Vagn S27  Nr 448</t>
  </si>
  <si>
    <t>S7057</t>
  </si>
  <si>
    <t>Avställd Vagn S2  Nr 248</t>
  </si>
  <si>
    <t>S7089</t>
  </si>
  <si>
    <t>Växelmekanisk Bil</t>
  </si>
  <si>
    <t>S7093</t>
  </si>
  <si>
    <t>S7118</t>
  </si>
  <si>
    <t>S7119</t>
  </si>
  <si>
    <t>S7123</t>
  </si>
  <si>
    <t>Beredskapsfordon-Signal</t>
  </si>
  <si>
    <t>S7140</t>
  </si>
  <si>
    <t>Ombyggnad Slamsuggning</t>
  </si>
  <si>
    <t>S7141</t>
  </si>
  <si>
    <t>Servicefordon Till Signalavd</t>
  </si>
  <si>
    <t>Grupptotal: FORDON</t>
  </si>
  <si>
    <t>FÖRBÄTTR</t>
  </si>
  <si>
    <t>4021</t>
  </si>
  <si>
    <t>Personalrum Wieselgrensplatsen</t>
  </si>
  <si>
    <t>4050</t>
  </si>
  <si>
    <t>Slottskogsdepå Varkstadshall</t>
  </si>
  <si>
    <t>4051</t>
  </si>
  <si>
    <t>Slottskogsdepå Rost, Plåtverks</t>
  </si>
  <si>
    <t>4052</t>
  </si>
  <si>
    <t>Slottskogsdepå Renov. Kontor</t>
  </si>
  <si>
    <t>4053</t>
  </si>
  <si>
    <t>Slottskogsdepån El- Och Ventil</t>
  </si>
  <si>
    <t>4054</t>
  </si>
  <si>
    <t>Slottskogsdepå Brandlarmanlägg</t>
  </si>
  <si>
    <t>4105</t>
  </si>
  <si>
    <t>Omygg Södra Kontoret Rantorget</t>
  </si>
  <si>
    <t>4130</t>
  </si>
  <si>
    <t>Ombyggnad Södrakontoret Etapp2</t>
  </si>
  <si>
    <t>4197</t>
  </si>
  <si>
    <t>Utbytte Av Fläktaggregat Rt</t>
  </si>
  <si>
    <t>4210</t>
  </si>
  <si>
    <t>Vagnhallen Majorna Trappan</t>
  </si>
  <si>
    <t>4614</t>
  </si>
  <si>
    <t>Målning kontor och utbildningslokal</t>
  </si>
  <si>
    <t>S7112</t>
  </si>
  <si>
    <t>Kantmurar Etapp 1</t>
  </si>
  <si>
    <t>Grupptotal: FÖRBÄTTR</t>
  </si>
  <si>
    <t>IMMATR</t>
  </si>
  <si>
    <t>4016</t>
  </si>
  <si>
    <t>Kompl Hastus</t>
  </si>
  <si>
    <t>4211</t>
  </si>
  <si>
    <t>Mjukvaruuppdatering Rakel</t>
  </si>
  <si>
    <t>4233</t>
  </si>
  <si>
    <t>Underhållssystem Sup</t>
  </si>
  <si>
    <t>4300</t>
  </si>
  <si>
    <t>Överordnat Säkerhetssystem</t>
  </si>
  <si>
    <t>4682</t>
  </si>
  <si>
    <t>Gantplanering</t>
  </si>
  <si>
    <t>4683</t>
  </si>
  <si>
    <t>Integration med NAV</t>
  </si>
  <si>
    <t>Grupptotal: IMMATR</t>
  </si>
  <si>
    <t>INVENT</t>
  </si>
  <si>
    <t>1689</t>
  </si>
  <si>
    <t>Ombyggn Personalrum Kålltorp</t>
  </si>
  <si>
    <t>1846</t>
  </si>
  <si>
    <t>Freesetanläggning Rantorget</t>
  </si>
  <si>
    <t>1900</t>
  </si>
  <si>
    <t>Passerläsare Timecon Etapp 2</t>
  </si>
  <si>
    <t>3233</t>
  </si>
  <si>
    <t>Kontorsmöbler Konferensrom</t>
  </si>
  <si>
    <t>3256</t>
  </si>
  <si>
    <t>Tidsterminaler Till Personec</t>
  </si>
  <si>
    <t>3259</t>
  </si>
  <si>
    <t>Projektorer Klippan/Rymdtorget</t>
  </si>
  <si>
    <t>3275</t>
  </si>
  <si>
    <t>Kontorsmöbler Personalavdeln</t>
  </si>
  <si>
    <t>3276</t>
  </si>
  <si>
    <t>Kontorsmöbler Ekonomiavdeln</t>
  </si>
  <si>
    <t>3288</t>
  </si>
  <si>
    <t>Kontorsmöbler Vd  Vds</t>
  </si>
  <si>
    <t>3341</t>
  </si>
  <si>
    <t>Kontorsmöbler Till Personal</t>
  </si>
  <si>
    <t>4011</t>
  </si>
  <si>
    <t>Möbler Till Personalavdelning</t>
  </si>
  <si>
    <t>4014</t>
  </si>
  <si>
    <t>Utvändiga Skyltar, Ny Logo</t>
  </si>
  <si>
    <t>4015</t>
  </si>
  <si>
    <t>Möbler Reception Rantorget</t>
  </si>
  <si>
    <t>4017</t>
  </si>
  <si>
    <t>Trådlås Access Till Kontorsnät</t>
  </si>
  <si>
    <t>4018</t>
  </si>
  <si>
    <t>Dust Control</t>
  </si>
  <si>
    <t>4020</t>
  </si>
  <si>
    <t>Rälsvågar 12 St</t>
  </si>
  <si>
    <t>4022</t>
  </si>
  <si>
    <t>Utbyte Av Kyl Matsal Rantorget</t>
  </si>
  <si>
    <t>4023</t>
  </si>
  <si>
    <t>Kontorsmöbler Jr</t>
  </si>
  <si>
    <t>4024</t>
  </si>
  <si>
    <t>Kontorsmöbler Tf</t>
  </si>
  <si>
    <t>4025</t>
  </si>
  <si>
    <t>Kontorsmöbler Al</t>
  </si>
  <si>
    <t>4026</t>
  </si>
  <si>
    <t>Kontorsmöbler Ny</t>
  </si>
  <si>
    <t>4033</t>
  </si>
  <si>
    <t>Takplattformar Inkl Install.</t>
  </si>
  <si>
    <t>4034</t>
  </si>
  <si>
    <t>Takplattformar Luftledning</t>
  </si>
  <si>
    <t>4035</t>
  </si>
  <si>
    <t>Lyftbord Ombyggnad Spår 19-20</t>
  </si>
  <si>
    <t>4036</t>
  </si>
  <si>
    <t>Lyftbord Arbetspl Spår 19-20</t>
  </si>
  <si>
    <t>4037</t>
  </si>
  <si>
    <t>Omb.Av Lyftbord Spår 19-20</t>
  </si>
  <si>
    <t>4038</t>
  </si>
  <si>
    <t>Omb Av Dustkontroll Spår 19-20</t>
  </si>
  <si>
    <t>4039</t>
  </si>
  <si>
    <t>Omb Av Arbetsplats Spår 19-20</t>
  </si>
  <si>
    <t>4040</t>
  </si>
  <si>
    <t>Komplett I Verkst.Blästerkabin</t>
  </si>
  <si>
    <t>4041</t>
  </si>
  <si>
    <t>Komplett. I Verkst. Quick Lift</t>
  </si>
  <si>
    <t>4042</t>
  </si>
  <si>
    <t>Komplett. I Verks.2-Stegstvätt</t>
  </si>
  <si>
    <t>4043</t>
  </si>
  <si>
    <t>Komplett. I Vekst Monentdragar</t>
  </si>
  <si>
    <t>4044</t>
  </si>
  <si>
    <t>Komplett. I Verkstad Övrigt</t>
  </si>
  <si>
    <t>4048</t>
  </si>
  <si>
    <t>Ombyggn Spår 1  Lyftbord</t>
  </si>
  <si>
    <t>4049</t>
  </si>
  <si>
    <t>Travers Hjulverkstad</t>
  </si>
  <si>
    <t>4056</t>
  </si>
  <si>
    <t>Bensindriv.Mutterdragare 3 St</t>
  </si>
  <si>
    <t>4057</t>
  </si>
  <si>
    <t>Hydr.Momentverktyg</t>
  </si>
  <si>
    <t>4058</t>
  </si>
  <si>
    <t>Pressverktyg Tångbroms M31</t>
  </si>
  <si>
    <t>4059</t>
  </si>
  <si>
    <t>Svarv</t>
  </si>
  <si>
    <t>4060</t>
  </si>
  <si>
    <t>Surtebock (Pelarlyft)</t>
  </si>
  <si>
    <t>4061</t>
  </si>
  <si>
    <t>Mobil Detaljtvätt Spår 19-20</t>
  </si>
  <si>
    <t>4062</t>
  </si>
  <si>
    <t>Skalskydd Etapp 2</t>
  </si>
  <si>
    <t>4065</t>
  </si>
  <si>
    <t>Kontrollskåp För Alkomätare</t>
  </si>
  <si>
    <t>4066</t>
  </si>
  <si>
    <t>Ramp Till Avfallshantering</t>
  </si>
  <si>
    <t>4068</t>
  </si>
  <si>
    <t>Fm 5 Tms Laserinstrument</t>
  </si>
  <si>
    <t>4071</t>
  </si>
  <si>
    <t>Tvättmaskin Spår 19-20</t>
  </si>
  <si>
    <t>4072</t>
  </si>
  <si>
    <t>Sandmaskin Spår 19-20</t>
  </si>
  <si>
    <t>4073</t>
  </si>
  <si>
    <t>Lyftbord Spår 19-20</t>
  </si>
  <si>
    <t>4074</t>
  </si>
  <si>
    <t>Våtsug Spår 19-20</t>
  </si>
  <si>
    <t>4075</t>
  </si>
  <si>
    <t>Luft Spolarvätska Spår 19-20</t>
  </si>
  <si>
    <t>4076</t>
  </si>
  <si>
    <t>Ventilation Spår 19-20</t>
  </si>
  <si>
    <t>4077</t>
  </si>
  <si>
    <t>Arbetsplats Spår 19-20</t>
  </si>
  <si>
    <t>4079</t>
  </si>
  <si>
    <t>Kontaktledning Spår 19-20</t>
  </si>
  <si>
    <t>4080</t>
  </si>
  <si>
    <t>Sprinkler, Brandlarm Spår19-20</t>
  </si>
  <si>
    <t>4081</t>
  </si>
  <si>
    <t>Fjädervåg Bromsar M28</t>
  </si>
  <si>
    <t>4082</t>
  </si>
  <si>
    <t>Hjulringssåg M28/M29</t>
  </si>
  <si>
    <t>4083</t>
  </si>
  <si>
    <t>Kontorsmöbler</t>
  </si>
  <si>
    <t>4084</t>
  </si>
  <si>
    <t>Framdragning Av Damsuggarrör</t>
  </si>
  <si>
    <t>4085</t>
  </si>
  <si>
    <t>Källsorteringsdisk Rantorget</t>
  </si>
  <si>
    <t>4086</t>
  </si>
  <si>
    <t>Svängkran, Undergplvssvarv</t>
  </si>
  <si>
    <t>4090</t>
  </si>
  <si>
    <t>Utrust.För Rening Av Bromsväts</t>
  </si>
  <si>
    <t>4093</t>
  </si>
  <si>
    <t>4094</t>
  </si>
  <si>
    <t>Väggsvängkran</t>
  </si>
  <si>
    <t>4102</t>
  </si>
  <si>
    <t>Vikportar</t>
  </si>
  <si>
    <t>4103</t>
  </si>
  <si>
    <t>Momentdragare 450 Mm</t>
  </si>
  <si>
    <t>4104</t>
  </si>
  <si>
    <t>Vagnhallen Rantorget Utb.Kompr</t>
  </si>
  <si>
    <t>4106</t>
  </si>
  <si>
    <t>Frysbox För Hjullager</t>
  </si>
  <si>
    <t>4107</t>
  </si>
  <si>
    <t>Reinvest.Av Video Etapp 2</t>
  </si>
  <si>
    <t>4108</t>
  </si>
  <si>
    <t>Reinvestering Av Video På Spv</t>
  </si>
  <si>
    <t>4109</t>
  </si>
  <si>
    <t>Ventilation 2 Kontor Rantorget</t>
  </si>
  <si>
    <t>4110</t>
  </si>
  <si>
    <t>Segdrag Mutterdragare M32</t>
  </si>
  <si>
    <t>4111</t>
  </si>
  <si>
    <t>Arbetsplats Spår 6</t>
  </si>
  <si>
    <t>4112</t>
  </si>
  <si>
    <t>Spår 6</t>
  </si>
  <si>
    <t>4113</t>
  </si>
  <si>
    <t>Lyftbord Spår 8</t>
  </si>
  <si>
    <t>4114</t>
  </si>
  <si>
    <t>Fordonslyftar Spår 8</t>
  </si>
  <si>
    <t>4115</t>
  </si>
  <si>
    <t>Arbetsplats Spår 8</t>
  </si>
  <si>
    <t>4116</t>
  </si>
  <si>
    <t>Spår 8</t>
  </si>
  <si>
    <t>4117</t>
  </si>
  <si>
    <t>Cykelställ Med Tak</t>
  </si>
  <si>
    <t>4120</t>
  </si>
  <si>
    <t>4121</t>
  </si>
  <si>
    <t>Nya Kontorsmöbler Till 2 Rum</t>
  </si>
  <si>
    <t>4122</t>
  </si>
  <si>
    <t>Gångramp Till Tl-Bilar</t>
  </si>
  <si>
    <t>4123</t>
  </si>
  <si>
    <t>Kombiskurmaskin Rantorget</t>
  </si>
  <si>
    <t>4124</t>
  </si>
  <si>
    <t>Pelarlyft Motorrevision</t>
  </si>
  <si>
    <t>4128</t>
  </si>
  <si>
    <t>Arbetsplats Motorrevision</t>
  </si>
  <si>
    <t>4129</t>
  </si>
  <si>
    <t>Staket-Taggtråd Rantorget</t>
  </si>
  <si>
    <t>4131</t>
  </si>
  <si>
    <t>Pinnlödningsaggregat S101</t>
  </si>
  <si>
    <t>4134</t>
  </si>
  <si>
    <t>Personalrum Nymånegatan</t>
  </si>
  <si>
    <t>4137</t>
  </si>
  <si>
    <t>Industritvättmaskin</t>
  </si>
  <si>
    <t>4138</t>
  </si>
  <si>
    <t>4139</t>
  </si>
  <si>
    <t>Domkrafter</t>
  </si>
  <si>
    <t>4140</t>
  </si>
  <si>
    <t>Isolationshållfasthets-Testare</t>
  </si>
  <si>
    <t>4141</t>
  </si>
  <si>
    <t>Möbler Lunchrum</t>
  </si>
  <si>
    <t>4144</t>
  </si>
  <si>
    <t>Pc1500A Palfinger Kompaktkran</t>
  </si>
  <si>
    <t>4145</t>
  </si>
  <si>
    <t>4146</t>
  </si>
  <si>
    <t>Nilfisk Kombiskurmaskin</t>
  </si>
  <si>
    <t>4147</t>
  </si>
  <si>
    <t>Momenttestare</t>
  </si>
  <si>
    <t>4152</t>
  </si>
  <si>
    <t>1 St Miljöcontainer</t>
  </si>
  <si>
    <t>4153</t>
  </si>
  <si>
    <t>Dustcontroll Slx</t>
  </si>
  <si>
    <t>4155</t>
  </si>
  <si>
    <t>Reinvestering Av Video Etapp 3</t>
  </si>
  <si>
    <t>4156</t>
  </si>
  <si>
    <t>Ledstaplare Till Lastbil F1</t>
  </si>
  <si>
    <t>4158</t>
  </si>
  <si>
    <t>Personalrum Aprilgatan</t>
  </si>
  <si>
    <t>4159</t>
  </si>
  <si>
    <t>Pelarsvängkran Till Hjulverkst</t>
  </si>
  <si>
    <t>4168</t>
  </si>
  <si>
    <t>Ac-Anläggning</t>
  </si>
  <si>
    <t>4169</t>
  </si>
  <si>
    <t>Radialinställningsutrustning</t>
  </si>
  <si>
    <t>4170</t>
  </si>
  <si>
    <t>Radialinställningsutrustning 2</t>
  </si>
  <si>
    <t>4172</t>
  </si>
  <si>
    <t>2 Truma Mover Vagn Förflytt</t>
  </si>
  <si>
    <t>4173</t>
  </si>
  <si>
    <t>Utbyte Av Belysning Driftv.Rt</t>
  </si>
  <si>
    <t>4174</t>
  </si>
  <si>
    <t>Ventilation</t>
  </si>
  <si>
    <t>4178</t>
  </si>
  <si>
    <t>Vagnhallen Rt Utb.Av Spänning</t>
  </si>
  <si>
    <t>4179</t>
  </si>
  <si>
    <t>Frys Matsalen Rantorget</t>
  </si>
  <si>
    <t>4180</t>
  </si>
  <si>
    <t>Kylbänkar Rantorget</t>
  </si>
  <si>
    <t>4181</t>
  </si>
  <si>
    <t>Ugn Göta Källare</t>
  </si>
  <si>
    <t>4182</t>
  </si>
  <si>
    <t>Kontor O Fikarum Verks. Rt</t>
  </si>
  <si>
    <t>4183</t>
  </si>
  <si>
    <t>Utbytte Av Stållverk Majorna</t>
  </si>
  <si>
    <t>4184</t>
  </si>
  <si>
    <t>Uppgrad. Av Befintlig Staket</t>
  </si>
  <si>
    <t>4185</t>
  </si>
  <si>
    <t>Ombyggnad Verkstad Majorna</t>
  </si>
  <si>
    <t>4186</t>
  </si>
  <si>
    <t>Ny Port 1</t>
  </si>
  <si>
    <t>4187</t>
  </si>
  <si>
    <t>Ny Port 2</t>
  </si>
  <si>
    <t>4188</t>
  </si>
  <si>
    <t>Ny Port 3</t>
  </si>
  <si>
    <t>4189</t>
  </si>
  <si>
    <t>Ny Port 5</t>
  </si>
  <si>
    <t>4190</t>
  </si>
  <si>
    <t>Ny Port 8</t>
  </si>
  <si>
    <t>4191</t>
  </si>
  <si>
    <t>Ny Port 9</t>
  </si>
  <si>
    <t>4192</t>
  </si>
  <si>
    <t>Ny Port 10</t>
  </si>
  <si>
    <t>4193</t>
  </si>
  <si>
    <t>Ny Port 18</t>
  </si>
  <si>
    <t>4194</t>
  </si>
  <si>
    <t>Personalrum Väderilsgatan</t>
  </si>
  <si>
    <t>4195</t>
  </si>
  <si>
    <t>4196</t>
  </si>
  <si>
    <t>Kontrosmöbler</t>
  </si>
  <si>
    <t>4198</t>
  </si>
  <si>
    <t>Färskvattenbågar Till Tvättmas</t>
  </si>
  <si>
    <t>4200</t>
  </si>
  <si>
    <t>Golvlampor 3 St</t>
  </si>
  <si>
    <t>4201</t>
  </si>
  <si>
    <t>Golvlampor 4 St</t>
  </si>
  <si>
    <t>4204</t>
  </si>
  <si>
    <t>Utbyte Av 2 St Traverser</t>
  </si>
  <si>
    <t>4205</t>
  </si>
  <si>
    <t>2 St Aggrigatst. Växellådor M3</t>
  </si>
  <si>
    <t>4206</t>
  </si>
  <si>
    <t>Kontorsmöbler, Videoskåp, Förv</t>
  </si>
  <si>
    <t>4209</t>
  </si>
  <si>
    <t>Maskin För Pinnbultrar/Dragare</t>
  </si>
  <si>
    <t>4213</t>
  </si>
  <si>
    <t>Bommar Bevakning Arbetsplats</t>
  </si>
  <si>
    <t>4214</t>
  </si>
  <si>
    <t>Kontorsmöbler Vls</t>
  </si>
  <si>
    <t>4216</t>
  </si>
  <si>
    <t>Möbler Till Matsalen Ringön</t>
  </si>
  <si>
    <t>4217</t>
  </si>
  <si>
    <t>Renovering Av Lunchlokal Ringö</t>
  </si>
  <si>
    <t>4218</t>
  </si>
  <si>
    <t>1 St Rälsborrmaskin</t>
  </si>
  <si>
    <t>4219</t>
  </si>
  <si>
    <t>4220</t>
  </si>
  <si>
    <t>4221</t>
  </si>
  <si>
    <t>4227</t>
  </si>
  <si>
    <t>Kalibreringskonsol</t>
  </si>
  <si>
    <t>4228</t>
  </si>
  <si>
    <t>Kalibreingsinstrument För Last</t>
  </si>
  <si>
    <t>4230</t>
  </si>
  <si>
    <t>4234</t>
  </si>
  <si>
    <t>Hjulmätningsutrustning 1</t>
  </si>
  <si>
    <t>4235</t>
  </si>
  <si>
    <t>Hjulmätningsutrustning 2</t>
  </si>
  <si>
    <t>4236</t>
  </si>
  <si>
    <t>Hjulmätningsutrustning 3</t>
  </si>
  <si>
    <t>4237</t>
  </si>
  <si>
    <t>Hjulmätningsutrustning 4</t>
  </si>
  <si>
    <t>4238</t>
  </si>
  <si>
    <t>4239</t>
  </si>
  <si>
    <t>4240</t>
  </si>
  <si>
    <t>4241</t>
  </si>
  <si>
    <t>4 St Isolerade Containers</t>
  </si>
  <si>
    <t>4242</t>
  </si>
  <si>
    <t>12 St Rälsvågar Etapp 2</t>
  </si>
  <si>
    <t>4246</t>
  </si>
  <si>
    <t>Brc-Instr. För Inställn.Av Vxl</t>
  </si>
  <si>
    <t>4247</t>
  </si>
  <si>
    <t>Köksutrustning</t>
  </si>
  <si>
    <t>4248</t>
  </si>
  <si>
    <t>4249</t>
  </si>
  <si>
    <t>Gascontainer 1</t>
  </si>
  <si>
    <t>4250</t>
  </si>
  <si>
    <t>Gascontainer 2</t>
  </si>
  <si>
    <t>4251</t>
  </si>
  <si>
    <t>Gascontainer 3</t>
  </si>
  <si>
    <t>4252</t>
  </si>
  <si>
    <t>Presspistol</t>
  </si>
  <si>
    <t>4253</t>
  </si>
  <si>
    <t>Pallställ För Mont. I Garage</t>
  </si>
  <si>
    <t>4255</t>
  </si>
  <si>
    <t>Makadamsug</t>
  </si>
  <si>
    <t>4256</t>
  </si>
  <si>
    <t>Motortelf/Ombyggnad Bygelverks</t>
  </si>
  <si>
    <t>4257</t>
  </si>
  <si>
    <t>Ledlåglyftare</t>
  </si>
  <si>
    <t>4259</t>
  </si>
  <si>
    <t>4260</t>
  </si>
  <si>
    <t>4261</t>
  </si>
  <si>
    <t>Ny Port 4</t>
  </si>
  <si>
    <t>4262</t>
  </si>
  <si>
    <t>4263</t>
  </si>
  <si>
    <t>Ny Port 6</t>
  </si>
  <si>
    <t>4264</t>
  </si>
  <si>
    <t>Ny Port 7</t>
  </si>
  <si>
    <t>4265</t>
  </si>
  <si>
    <t>4266</t>
  </si>
  <si>
    <t>4267</t>
  </si>
  <si>
    <t>4268</t>
  </si>
  <si>
    <t>Ny Port 11</t>
  </si>
  <si>
    <t>4269</t>
  </si>
  <si>
    <t>Ny Port 12</t>
  </si>
  <si>
    <t>4270</t>
  </si>
  <si>
    <t>Ny Port 13</t>
  </si>
  <si>
    <t>4271</t>
  </si>
  <si>
    <t>Ny Port 14</t>
  </si>
  <si>
    <t>4272</t>
  </si>
  <si>
    <t>Ny Port 15</t>
  </si>
  <si>
    <t>4278</t>
  </si>
  <si>
    <t>Telfer För Frammtagning Av Räl</t>
  </si>
  <si>
    <t>4280</t>
  </si>
  <si>
    <t>Utbyte Köksfläkt</t>
  </si>
  <si>
    <t>4284</t>
  </si>
  <si>
    <t>Fräs För Asfalt Och Betong</t>
  </si>
  <si>
    <t>4285</t>
  </si>
  <si>
    <t>Likriktarstation Majorna  750V</t>
  </si>
  <si>
    <t>4288</t>
  </si>
  <si>
    <t>Portar 19-20</t>
  </si>
  <si>
    <t>4290</t>
  </si>
  <si>
    <t>Nytt Kök Tli</t>
  </si>
  <si>
    <t>4293</t>
  </si>
  <si>
    <t>Induktiv Värme</t>
  </si>
  <si>
    <t>4294</t>
  </si>
  <si>
    <t>Segdragande Muttermaskin</t>
  </si>
  <si>
    <t>4296</t>
  </si>
  <si>
    <t>Planslip För Mellanlägg/Schims</t>
  </si>
  <si>
    <t>4297</t>
  </si>
  <si>
    <t>Kamera Till Slamsugngingsbil</t>
  </si>
  <si>
    <t>4298</t>
  </si>
  <si>
    <t>Upprustning Av Arbetsgrop</t>
  </si>
  <si>
    <t>4299</t>
  </si>
  <si>
    <t>Ny Truck</t>
  </si>
  <si>
    <t>4301</t>
  </si>
  <si>
    <t>Behörighetskort Samt Kortskriv</t>
  </si>
  <si>
    <t>4303</t>
  </si>
  <si>
    <t>Stolar Till Frihamnen</t>
  </si>
  <si>
    <t>4305</t>
  </si>
  <si>
    <t>Renov.Pausrum Hjul- Och Plåtve</t>
  </si>
  <si>
    <t>4306</t>
  </si>
  <si>
    <t>4307</t>
  </si>
  <si>
    <t>4308</t>
  </si>
  <si>
    <t>4309</t>
  </si>
  <si>
    <t>Ny Port Nr 6 Nord</t>
  </si>
  <si>
    <t>4310</t>
  </si>
  <si>
    <t>Ny Port Nr 7 Nord</t>
  </si>
  <si>
    <t>4311</t>
  </si>
  <si>
    <t>Ny Port Nr 13 Nord</t>
  </si>
  <si>
    <t>4312</t>
  </si>
  <si>
    <t>Ny Port Nr 14  Nord</t>
  </si>
  <si>
    <t>4313</t>
  </si>
  <si>
    <t>Ny Port Nr 15  Nord</t>
  </si>
  <si>
    <t>4320</t>
  </si>
  <si>
    <t>Stoftsug Utbyte Maskinverkstad</t>
  </si>
  <si>
    <t>4322</t>
  </si>
  <si>
    <t>Ny Port Nr 16  Nord</t>
  </si>
  <si>
    <t>4323</t>
  </si>
  <si>
    <t>Ny Port Nr 17  Nord</t>
  </si>
  <si>
    <t>4324</t>
  </si>
  <si>
    <t>Ny Port Nr 18  Nord</t>
  </si>
  <si>
    <t>4325</t>
  </si>
  <si>
    <t>Ny Port Nr 6  Syd</t>
  </si>
  <si>
    <t>4326</t>
  </si>
  <si>
    <t>Ny Port Nr 7  Syd</t>
  </si>
  <si>
    <t>4327</t>
  </si>
  <si>
    <t>Ny Port Nr 11  Syd</t>
  </si>
  <si>
    <t>4328</t>
  </si>
  <si>
    <t>Ny Port Nr 12  Syd</t>
  </si>
  <si>
    <t>4329</t>
  </si>
  <si>
    <t>Ny Port Nr 13  Syd</t>
  </si>
  <si>
    <t>4330</t>
  </si>
  <si>
    <t>Ny Port Nr 14  Syd</t>
  </si>
  <si>
    <t>4331</t>
  </si>
  <si>
    <t>Ny Port Nr 15  Syd</t>
  </si>
  <si>
    <t>4332</t>
  </si>
  <si>
    <t>Städmaskin</t>
  </si>
  <si>
    <t>4333</t>
  </si>
  <si>
    <t>Utbyte Av Värmeskåp Rtx</t>
  </si>
  <si>
    <t>4334</t>
  </si>
  <si>
    <t>Uppgradering Brandlarmsanläggn</t>
  </si>
  <si>
    <t>4335</t>
  </si>
  <si>
    <t>Diskmaskin Wd4 Med Stativ</t>
  </si>
  <si>
    <t>4336</t>
  </si>
  <si>
    <t>Sköljbåge Fordonstvättmaskin</t>
  </si>
  <si>
    <t>4337</t>
  </si>
  <si>
    <t>Vibrattorplats</t>
  </si>
  <si>
    <t>4339</t>
  </si>
  <si>
    <t>Utbyte Av Formar Till Bulbar M</t>
  </si>
  <si>
    <t>4340</t>
  </si>
  <si>
    <t>Ac Kontor Slx</t>
  </si>
  <si>
    <t>4341</t>
  </si>
  <si>
    <t>Vägsvängkran/Drag Till Travers</t>
  </si>
  <si>
    <t>4342</t>
  </si>
  <si>
    <t>Justerbar Arbetsplattform</t>
  </si>
  <si>
    <t>4343</t>
  </si>
  <si>
    <t>4344</t>
  </si>
  <si>
    <t>4345</t>
  </si>
  <si>
    <t>Traversbana Mek.Verkstad</t>
  </si>
  <si>
    <t>4346</t>
  </si>
  <si>
    <t>Kontorsmöbler Slx</t>
  </si>
  <si>
    <t>4522</t>
  </si>
  <si>
    <t>Sandsystem M29 Nr 1</t>
  </si>
  <si>
    <t>4523</t>
  </si>
  <si>
    <t>Sandsysten M29 Nr 2</t>
  </si>
  <si>
    <t>4524</t>
  </si>
  <si>
    <t>Sandsystem M29 Nr 3</t>
  </si>
  <si>
    <t>4525</t>
  </si>
  <si>
    <t>Sandsystem M29 Nr 4</t>
  </si>
  <si>
    <t>4526</t>
  </si>
  <si>
    <t>Sandsystem M29 Nr 5</t>
  </si>
  <si>
    <t>4527</t>
  </si>
  <si>
    <t>Sandsystem M29 Nr 6</t>
  </si>
  <si>
    <t>4528</t>
  </si>
  <si>
    <t>Sandsystem M29 Nr 7</t>
  </si>
  <si>
    <t>4529</t>
  </si>
  <si>
    <t>Sandsystem M29 Nr 8</t>
  </si>
  <si>
    <t>4530</t>
  </si>
  <si>
    <t>Sandsystem M29 Nr 9</t>
  </si>
  <si>
    <t>4531</t>
  </si>
  <si>
    <t>Sandsystem M29 Nr 10</t>
  </si>
  <si>
    <t>4532</t>
  </si>
  <si>
    <t>Sandsystem M 29 Nr 11</t>
  </si>
  <si>
    <t>4533</t>
  </si>
  <si>
    <t>Sandsystem M29 Nr 12</t>
  </si>
  <si>
    <t>4534</t>
  </si>
  <si>
    <t>Sandsystem M29 Nr 13</t>
  </si>
  <si>
    <t>4535</t>
  </si>
  <si>
    <t>Sandsystem M29 Nr 14</t>
  </si>
  <si>
    <t>4536</t>
  </si>
  <si>
    <t>Sandsystem M29 Nr15</t>
  </si>
  <si>
    <t>4537</t>
  </si>
  <si>
    <t>Sandsystem M29 Nr 16</t>
  </si>
  <si>
    <t>4538</t>
  </si>
  <si>
    <t>Sandsystem M19 Nr 17</t>
  </si>
  <si>
    <t>4539</t>
  </si>
  <si>
    <t>Sandsystem M29  Nr 18</t>
  </si>
  <si>
    <t>4540</t>
  </si>
  <si>
    <t>Sandsystem M29 Nr 19</t>
  </si>
  <si>
    <t>4541</t>
  </si>
  <si>
    <t>Sandsystem M29 Nr 20</t>
  </si>
  <si>
    <t>4542</t>
  </si>
  <si>
    <t>Sandsystem M29 Nr 21</t>
  </si>
  <si>
    <t>4543</t>
  </si>
  <si>
    <t>Sandsystem M29 Nr 22</t>
  </si>
  <si>
    <t>4544</t>
  </si>
  <si>
    <t>Sandsystem M29 Nr 23</t>
  </si>
  <si>
    <t>4545</t>
  </si>
  <si>
    <t>Sandsystem M29 Nr 24</t>
  </si>
  <si>
    <t>4546</t>
  </si>
  <si>
    <t>Sandsystem M29 Nr 25</t>
  </si>
  <si>
    <t>4547</t>
  </si>
  <si>
    <t>Sandsystem M29 Nr 26</t>
  </si>
  <si>
    <t>4548</t>
  </si>
  <si>
    <t>Sandsystem M29 Nr 27</t>
  </si>
  <si>
    <t>4549</t>
  </si>
  <si>
    <t>Sandsystem M29 Nr 28</t>
  </si>
  <si>
    <t>4550</t>
  </si>
  <si>
    <t>Sandsystem M29 Nr 29</t>
  </si>
  <si>
    <t>4551</t>
  </si>
  <si>
    <t>Sandsystem M29 Nr 30</t>
  </si>
  <si>
    <t>4552</t>
  </si>
  <si>
    <t>Sandsystem M29 Nr 31</t>
  </si>
  <si>
    <t>4553</t>
  </si>
  <si>
    <t>Sandsystem M29 Nr 32</t>
  </si>
  <si>
    <t>4554</t>
  </si>
  <si>
    <t>Sandsystem M29 Nr 33</t>
  </si>
  <si>
    <t>4555</t>
  </si>
  <si>
    <t>Sandsystem M29 Nr 34</t>
  </si>
  <si>
    <t>4556</t>
  </si>
  <si>
    <t>Sandsystem M29 Nr 35</t>
  </si>
  <si>
    <t>4557</t>
  </si>
  <si>
    <t>Sandsystem M29 Nr 36</t>
  </si>
  <si>
    <t>4558</t>
  </si>
  <si>
    <t>Sandsystem M29 Nr 37</t>
  </si>
  <si>
    <t>4559</t>
  </si>
  <si>
    <t>Sandsystem M29 Nr 38</t>
  </si>
  <si>
    <t>4560</t>
  </si>
  <si>
    <t>Sandsystem M29 Nr 39</t>
  </si>
  <si>
    <t>4601</t>
  </si>
  <si>
    <t>Asfaltsvält</t>
  </si>
  <si>
    <t>4602</t>
  </si>
  <si>
    <t>Möbler Matsalen Rantorget</t>
  </si>
  <si>
    <t>4603</t>
  </si>
  <si>
    <t>Byte Växel R01</t>
  </si>
  <si>
    <t>4604</t>
  </si>
  <si>
    <t>Kontorslandskap Majorna Möbler</t>
  </si>
  <si>
    <t>4606</t>
  </si>
  <si>
    <t>Möbler 4800</t>
  </si>
  <si>
    <t>4607</t>
  </si>
  <si>
    <t>Möbler 4810</t>
  </si>
  <si>
    <t>4608</t>
  </si>
  <si>
    <t>Åkbar Nilfisk Sopmaskin</t>
  </si>
  <si>
    <t>4609</t>
  </si>
  <si>
    <t>Utrustning Till Omkläddningssk</t>
  </si>
  <si>
    <t>4610</t>
  </si>
  <si>
    <t>Kyla datahall Rantorget</t>
  </si>
  <si>
    <t>4611</t>
  </si>
  <si>
    <t xml:space="preserve">Formar till frontskydd </t>
  </si>
  <si>
    <t>4612</t>
  </si>
  <si>
    <t>Utbyte av detktorer för brandlarm Tantirget</t>
  </si>
  <si>
    <t>4613</t>
  </si>
  <si>
    <t>Komprimator Majorna</t>
  </si>
  <si>
    <t>4615</t>
  </si>
  <si>
    <t>Mobile Column Lift 1  Spår 2</t>
  </si>
  <si>
    <t>4616</t>
  </si>
  <si>
    <t>Mobile Column Lift 2  Spår 2</t>
  </si>
  <si>
    <t>4617</t>
  </si>
  <si>
    <t>Mobile Column Lift 4  Spår 2</t>
  </si>
  <si>
    <t>4618</t>
  </si>
  <si>
    <t>4619</t>
  </si>
  <si>
    <t>Mobile Column Lift 5  Spår 2</t>
  </si>
  <si>
    <t>4620</t>
  </si>
  <si>
    <t>Mobile Column Lift 6  Spår 2</t>
  </si>
  <si>
    <t>4621</t>
  </si>
  <si>
    <t>Mobile Column Lift 7  Spår 2</t>
  </si>
  <si>
    <t>4622</t>
  </si>
  <si>
    <t>Mobile Column Lift 8  Spår 2</t>
  </si>
  <si>
    <t>4623</t>
  </si>
  <si>
    <t>Kontroll och åtgärd av räls RTX</t>
  </si>
  <si>
    <t>4624</t>
  </si>
  <si>
    <t>Hetvattentvätt</t>
  </si>
  <si>
    <t>4625</t>
  </si>
  <si>
    <t>Utbyte allmänbelysning matsalen RTX</t>
  </si>
  <si>
    <t>4626</t>
  </si>
  <si>
    <t>AC konferansrum &amp; kontor i depå Slottsskogen</t>
  </si>
  <si>
    <t>4627</t>
  </si>
  <si>
    <t>TCM Truck</t>
  </si>
  <si>
    <t>4628</t>
  </si>
  <si>
    <t>Storkontor mewd entresolplan RTX</t>
  </si>
  <si>
    <t>4630</t>
  </si>
  <si>
    <t>Inbrottslarm och passersystem, Göta Källare</t>
  </si>
  <si>
    <t>4632</t>
  </si>
  <si>
    <t>Växelstoppaggregat</t>
  </si>
  <si>
    <t>4633</t>
  </si>
  <si>
    <t>Golvskurmaskin</t>
  </si>
  <si>
    <t>4634</t>
  </si>
  <si>
    <t>Möbler ledningscentral och pausrum</t>
  </si>
  <si>
    <t>4635</t>
  </si>
  <si>
    <t>Bromsspår SLX M33</t>
  </si>
  <si>
    <t>4636</t>
  </si>
  <si>
    <t>Stopsug för rostrevision RTX</t>
  </si>
  <si>
    <t>4637</t>
  </si>
  <si>
    <t>Depå SLX spår 4 förstärkning golv</t>
  </si>
  <si>
    <t>4638</t>
  </si>
  <si>
    <t>Ledstaplare Slottsskogen</t>
  </si>
  <si>
    <t>4639</t>
  </si>
  <si>
    <t>Lagerhyllor Slottsskogen</t>
  </si>
  <si>
    <t>4640</t>
  </si>
  <si>
    <t>Transportvagnar M33 boggin</t>
  </si>
  <si>
    <t>4641</t>
  </si>
  <si>
    <t>Pater Nosterverk</t>
  </si>
  <si>
    <t>4642</t>
  </si>
  <si>
    <t>Allmän belysning östra södra kontoret</t>
  </si>
  <si>
    <t>4643</t>
  </si>
  <si>
    <t>Depå SLX lyftar</t>
  </si>
  <si>
    <t>4644</t>
  </si>
  <si>
    <t>Stolar TLI</t>
  </si>
  <si>
    <t>4645</t>
  </si>
  <si>
    <t>GPS-utrustning</t>
  </si>
  <si>
    <t>4647</t>
  </si>
  <si>
    <t>Byte tuganordning R52</t>
  </si>
  <si>
    <t>4648</t>
  </si>
  <si>
    <t>Byte tunganordning R06</t>
  </si>
  <si>
    <t>4649</t>
  </si>
  <si>
    <t>ORION två pelarlyft för fett</t>
  </si>
  <si>
    <t>4650</t>
  </si>
  <si>
    <t>Mutterdragare Master 35. 500-1800 Nm.</t>
  </si>
  <si>
    <t>4651</t>
  </si>
  <si>
    <t>Avskrotare modell U-L-W med handpump</t>
  </si>
  <si>
    <t>4652</t>
  </si>
  <si>
    <t>Byte växel B13</t>
  </si>
  <si>
    <t>4653</t>
  </si>
  <si>
    <t>Byte växel F4</t>
  </si>
  <si>
    <t>4654</t>
  </si>
  <si>
    <t>Byte tunganordning R07</t>
  </si>
  <si>
    <t>4655</t>
  </si>
  <si>
    <t>Byte av 2 st växeldriv med jorlåda vxl 24/30</t>
  </si>
  <si>
    <t>4656</t>
  </si>
  <si>
    <t>Byte växel R51</t>
  </si>
  <si>
    <t>4657</t>
  </si>
  <si>
    <t>Asfalts Planfräs PLB450</t>
  </si>
  <si>
    <t>4658</t>
  </si>
  <si>
    <t>Fordonstvätt spår 1 anpassning M33</t>
  </si>
  <si>
    <t>4659</t>
  </si>
  <si>
    <t>Depå MX takarbetsplats</t>
  </si>
  <si>
    <t>4660</t>
  </si>
  <si>
    <t>Utrustning för kontor och personal depå Ringön</t>
  </si>
  <si>
    <t>4661</t>
  </si>
  <si>
    <t>Maskiner till depå Ringån</t>
  </si>
  <si>
    <t>4662</t>
  </si>
  <si>
    <t>Fast sandanläggning byggledning och projektstöd</t>
  </si>
  <si>
    <t>4663</t>
  </si>
  <si>
    <t>Svetsmaskin</t>
  </si>
  <si>
    <t>4664</t>
  </si>
  <si>
    <t>Lokaler, mellanplan Rantorget</t>
  </si>
  <si>
    <t>4665</t>
  </si>
  <si>
    <t>Ledstaplare Komponentunderhåll</t>
  </si>
  <si>
    <t>4666</t>
  </si>
  <si>
    <t>Mindre maskiner till depå Ringön</t>
  </si>
  <si>
    <t>4667</t>
  </si>
  <si>
    <t>Rakelutrustning</t>
  </si>
  <si>
    <t>4668</t>
  </si>
  <si>
    <t>Vakuumpump</t>
  </si>
  <si>
    <t>4669</t>
  </si>
  <si>
    <t>Spolartvätt för hjulager</t>
  </si>
  <si>
    <t>4670</t>
  </si>
  <si>
    <t>Växelvärmestyrning</t>
  </si>
  <si>
    <t>4671</t>
  </si>
  <si>
    <t>Upprustning av vätthall</t>
  </si>
  <si>
    <t>4672</t>
  </si>
  <si>
    <t>Två tanks tvätt</t>
  </si>
  <si>
    <t>4673</t>
  </si>
  <si>
    <t>Digitala skärmar</t>
  </si>
  <si>
    <t>4674</t>
  </si>
  <si>
    <t>Spårarbete Rantorget</t>
  </si>
  <si>
    <t>4675</t>
  </si>
  <si>
    <t>Räffelmätare</t>
  </si>
  <si>
    <t>4676</t>
  </si>
  <si>
    <t>Durkplåt Majorna spår 7-8, samt 2 gångar spår 10</t>
  </si>
  <si>
    <t>4677</t>
  </si>
  <si>
    <t>Gradsax</t>
  </si>
  <si>
    <t>4678</t>
  </si>
  <si>
    <t>Sugarmar Stofteleminering</t>
  </si>
  <si>
    <t>4679</t>
  </si>
  <si>
    <t>Kök och konferensrum</t>
  </si>
  <si>
    <t>4680</t>
  </si>
  <si>
    <t>Fordonstvätt utbyte plåt tankar vattenren. spår 19</t>
  </si>
  <si>
    <t>4681</t>
  </si>
  <si>
    <t>Rangermaskin</t>
  </si>
  <si>
    <t>S0318</t>
  </si>
  <si>
    <t>Såg Och Borrmaskin</t>
  </si>
  <si>
    <t>S0319</t>
  </si>
  <si>
    <t>Skyddsbom Vid Spårarbete</t>
  </si>
  <si>
    <t>S0322</t>
  </si>
  <si>
    <t>Rälbocksystem</t>
  </si>
  <si>
    <t>S0325</t>
  </si>
  <si>
    <t>Styrutr Till Bommar</t>
  </si>
  <si>
    <t>S0326</t>
  </si>
  <si>
    <t>Bommar 6 St</t>
  </si>
  <si>
    <t>S0331</t>
  </si>
  <si>
    <t>Svetsautomat Bansektionen</t>
  </si>
  <si>
    <t>S0333</t>
  </si>
  <si>
    <t>Svetsaggregat Bansektionen</t>
  </si>
  <si>
    <t>S0561</t>
  </si>
  <si>
    <t>Supportsvarv S8S-200</t>
  </si>
  <si>
    <t>S1059</t>
  </si>
  <si>
    <t>600 V Maximaler I Majorna</t>
  </si>
  <si>
    <t>S1068</t>
  </si>
  <si>
    <t>Ringvärmare T Hjulverkstad</t>
  </si>
  <si>
    <t>S1090</t>
  </si>
  <si>
    <t>Asea Åkstaplare Nr 156</t>
  </si>
  <si>
    <t>S1144</t>
  </si>
  <si>
    <t>Panderolpåslagare</t>
  </si>
  <si>
    <t>S1325</t>
  </si>
  <si>
    <t>Rälkapsåg Till Banteknik</t>
  </si>
  <si>
    <t>S1400</t>
  </si>
  <si>
    <t>Provbänk T Elverkst Rantorget</t>
  </si>
  <si>
    <t>S1418</t>
  </si>
  <si>
    <t>Gradsax Till Aos</t>
  </si>
  <si>
    <t>S1550</t>
  </si>
  <si>
    <t>Slipmaskin Robel Beg 94</t>
  </si>
  <si>
    <t>S1553</t>
  </si>
  <si>
    <t>Termitsvets Beg 94</t>
  </si>
  <si>
    <t>S1642</t>
  </si>
  <si>
    <t>Ny Datavåg Måleriet</t>
  </si>
  <si>
    <t>S1832</t>
  </si>
  <si>
    <t>Bläster T Mek Verkstaden Rt</t>
  </si>
  <si>
    <t>S1851</t>
  </si>
  <si>
    <t>Uppvärmn Syst Spårvx  Klgd</t>
  </si>
  <si>
    <t>S1860</t>
  </si>
  <si>
    <t>Kontrollutrustn Hjälpkraftsom</t>
  </si>
  <si>
    <t>S1957</t>
  </si>
  <si>
    <t>Radialborrmaskin Elverkst</t>
  </si>
  <si>
    <t>S2060</t>
  </si>
  <si>
    <t>Elektrisk Kabelpresstång Elver</t>
  </si>
  <si>
    <t>S2061</t>
  </si>
  <si>
    <t>Oscilloskop Aos Elverkstaden</t>
  </si>
  <si>
    <t>S2085</t>
  </si>
  <si>
    <t>Isolationsinstrument</t>
  </si>
  <si>
    <t>S2159</t>
  </si>
  <si>
    <t>Justerbart Lyftok Aoa Produkti</t>
  </si>
  <si>
    <t>S2189</t>
  </si>
  <si>
    <t>Kortslutningsmätare Aof</t>
  </si>
  <si>
    <t>S2190</t>
  </si>
  <si>
    <t>S2244</t>
  </si>
  <si>
    <t>Mätverktyg Aos Elverkstad</t>
  </si>
  <si>
    <t>S2245</t>
  </si>
  <si>
    <t>Mig-Svets Aof Elverkstad</t>
  </si>
  <si>
    <t>S2264</t>
  </si>
  <si>
    <t>Retardationsmätare  Vzm-300</t>
  </si>
  <si>
    <t>S2266</t>
  </si>
  <si>
    <t>Retardationsmätare Vzm-300</t>
  </si>
  <si>
    <t>S2277</t>
  </si>
  <si>
    <t>Retardationsmätare</t>
  </si>
  <si>
    <t>S2303</t>
  </si>
  <si>
    <t>Möbler Göta Källare</t>
  </si>
  <si>
    <t>S2305</t>
  </si>
  <si>
    <t>Stoppaggregat</t>
  </si>
  <si>
    <t>S2307</t>
  </si>
  <si>
    <t>Ledstaplare</t>
  </si>
  <si>
    <t>S2312</t>
  </si>
  <si>
    <t>Svetsautomat</t>
  </si>
  <si>
    <t>S2381</t>
  </si>
  <si>
    <t>Möbler O Skåp Vagnhall Maj</t>
  </si>
  <si>
    <t>S2382</t>
  </si>
  <si>
    <t>Lasermätare/Pistol</t>
  </si>
  <si>
    <t>S2459</t>
  </si>
  <si>
    <t>Mätutrustning Hög Asfalt</t>
  </si>
  <si>
    <t>S2464</t>
  </si>
  <si>
    <t>Spårunderhåll Vagnh Kungsladug</t>
  </si>
  <si>
    <t>S2465</t>
  </si>
  <si>
    <t>Terminalbord 6 St</t>
  </si>
  <si>
    <t>S2502</t>
  </si>
  <si>
    <t>Rälskap</t>
  </si>
  <si>
    <t>S2503</t>
  </si>
  <si>
    <t>Borrstativ</t>
  </si>
  <si>
    <t>S2531</t>
  </si>
  <si>
    <t>Avdragare T Hjulverks Rantorg</t>
  </si>
  <si>
    <t>S2533</t>
  </si>
  <si>
    <t>Dest.App. Återvinn Lösningsmed</t>
  </si>
  <si>
    <t>S2545</t>
  </si>
  <si>
    <t>Lamellkompressor</t>
  </si>
  <si>
    <t>S2546</t>
  </si>
  <si>
    <t>Data- Och Videoprojektor</t>
  </si>
  <si>
    <t>S2548</t>
  </si>
  <si>
    <t>Motorlyftare</t>
  </si>
  <si>
    <t>S2573</t>
  </si>
  <si>
    <t>Motviktstruck</t>
  </si>
  <si>
    <t>S2576</t>
  </si>
  <si>
    <t>Kompressorlyft</t>
  </si>
  <si>
    <t>S2590</t>
  </si>
  <si>
    <t>Chuck Till Svarven</t>
  </si>
  <si>
    <t>S2609</t>
  </si>
  <si>
    <t>Lödstation</t>
  </si>
  <si>
    <t>S2639</t>
  </si>
  <si>
    <t>Tre Filtreringsanläggningar</t>
  </si>
  <si>
    <t>S2643</t>
  </si>
  <si>
    <t>Möbler Till Göta Källare</t>
  </si>
  <si>
    <t>S2657</t>
  </si>
  <si>
    <t>Ljudnivåmätare För M31</t>
  </si>
  <si>
    <t>S2665</t>
  </si>
  <si>
    <t>Mutterddragare</t>
  </si>
  <si>
    <t>S2670</t>
  </si>
  <si>
    <t>Lyftredskap M31</t>
  </si>
  <si>
    <t>S2671</t>
  </si>
  <si>
    <t>Vagnsvåg</t>
  </si>
  <si>
    <t>S2683</t>
  </si>
  <si>
    <t>Revision Brytare Rant O Kungsl</t>
  </si>
  <si>
    <t>S2716</t>
  </si>
  <si>
    <t>Lyftanordning Skenbromsar M31</t>
  </si>
  <si>
    <t>S2719</t>
  </si>
  <si>
    <t>Markiser,Rullgard Göta Källare</t>
  </si>
  <si>
    <t>S2743</t>
  </si>
  <si>
    <t>2 St Batteriladdare</t>
  </si>
  <si>
    <t>S2748</t>
  </si>
  <si>
    <t>Larm Göta Källare</t>
  </si>
  <si>
    <t>S2753</t>
  </si>
  <si>
    <t>Blästermaskin Ilb2000</t>
  </si>
  <si>
    <t>S2755</t>
  </si>
  <si>
    <t>Hårdhetsmät Mätn Hjulringar</t>
  </si>
  <si>
    <t>S2760</t>
  </si>
  <si>
    <t>Pinnlödningsaggregat</t>
  </si>
  <si>
    <t>S2821</t>
  </si>
  <si>
    <t>Stansmaskin Aros Al40</t>
  </si>
  <si>
    <t>S2822</t>
  </si>
  <si>
    <t>Pressverktyg</t>
  </si>
  <si>
    <t>S2869</t>
  </si>
  <si>
    <t>Dator Till Mätutrustning</t>
  </si>
  <si>
    <t>S2870</t>
  </si>
  <si>
    <t>Gasskärmaskin</t>
  </si>
  <si>
    <t>S2872</t>
  </si>
  <si>
    <t>Avdrag C-Dels Vändkranslager</t>
  </si>
  <si>
    <t>S2873</t>
  </si>
  <si>
    <t>Terminal Vagnplaceringssystem</t>
  </si>
  <si>
    <t>S2905</t>
  </si>
  <si>
    <t>Ombyggn Avdragare Hjulaxel M31</t>
  </si>
  <si>
    <t>S2921</t>
  </si>
  <si>
    <t>Inventarier Hydralikverkstad</t>
  </si>
  <si>
    <t>S2922</t>
  </si>
  <si>
    <t>Brandvarningssystem T Spårvagn</t>
  </si>
  <si>
    <t>S2923</t>
  </si>
  <si>
    <t>Möbler, Gardiner Gullbergsstra</t>
  </si>
  <si>
    <t>S3007</t>
  </si>
  <si>
    <t>Bockkran Ringön</t>
  </si>
  <si>
    <t>S3010</t>
  </si>
  <si>
    <t>Möbler Plan 2 Göta Källare</t>
  </si>
  <si>
    <t>S3011</t>
  </si>
  <si>
    <t>Av-Utrustning Ao Banteknik</t>
  </si>
  <si>
    <t>S3015</t>
  </si>
  <si>
    <t>Sop-/Skurmaskin Fordonsv Ranto</t>
  </si>
  <si>
    <t>S3031</t>
  </si>
  <si>
    <t>S3032</t>
  </si>
  <si>
    <t>Möbler Aos Utbildn Frihamnen</t>
  </si>
  <si>
    <t>S3034</t>
  </si>
  <si>
    <t>Kallgarage Gullbergsstrand</t>
  </si>
  <si>
    <t>S3035</t>
  </si>
  <si>
    <t>Cnc Styrd Svarv</t>
  </si>
  <si>
    <t>S3063</t>
  </si>
  <si>
    <t>Möbler Kontor Göta Källare</t>
  </si>
  <si>
    <t>S3064</t>
  </si>
  <si>
    <t>Växelslipmaskin Aos Banteknik</t>
  </si>
  <si>
    <t>S3066</t>
  </si>
  <si>
    <t>Provbänk Till M31 C-Del</t>
  </si>
  <si>
    <t>S3069</t>
  </si>
  <si>
    <t>Uppgradering Räffelmätn.Utrust</t>
  </si>
  <si>
    <t>S3107</t>
  </si>
  <si>
    <t>Värmekamera F Felsökn Avvikels</t>
  </si>
  <si>
    <t>S3112</t>
  </si>
  <si>
    <t>Hjulaxelbockar Hjulverks Ranto</t>
  </si>
  <si>
    <t>S3114</t>
  </si>
  <si>
    <t>Spårlägesmätare Krabba</t>
  </si>
  <si>
    <t>S3115</t>
  </si>
  <si>
    <t>Program Gränslägen Rantorget</t>
  </si>
  <si>
    <t>S3126</t>
  </si>
  <si>
    <t>Produktionshjälpmedel Hjulverk</t>
  </si>
  <si>
    <t>S3129</t>
  </si>
  <si>
    <t>Slipbox Fordonsverkst Rantorge</t>
  </si>
  <si>
    <t>S3142</t>
  </si>
  <si>
    <t>Kylmotor T Cafeteria Banteknik</t>
  </si>
  <si>
    <t>S3173</t>
  </si>
  <si>
    <t>Skärmtak T Slipers &amp; Mask Ring</t>
  </si>
  <si>
    <t>S3184</t>
  </si>
  <si>
    <t>Möbler Konferensrum Spårvagn</t>
  </si>
  <si>
    <t>S3194</t>
  </si>
  <si>
    <t>Liten Svetsautomat Banteknik</t>
  </si>
  <si>
    <t>S3215</t>
  </si>
  <si>
    <t>8 Lyftplattformar Vagnhall Maj</t>
  </si>
  <si>
    <t>S3218</t>
  </si>
  <si>
    <t>Cnc-Svarv Fordonsv Rantorget</t>
  </si>
  <si>
    <t>S3235</t>
  </si>
  <si>
    <t>Verkstadshjälpmedel M32</t>
  </si>
  <si>
    <t>S3290</t>
  </si>
  <si>
    <t>Bläster T Fordonsverks Rantorg</t>
  </si>
  <si>
    <t>S3291</t>
  </si>
  <si>
    <t>Webbkamera &amp; Monitor Fordonste</t>
  </si>
  <si>
    <t>S3292</t>
  </si>
  <si>
    <t>Möbler Till Café Göta Källare</t>
  </si>
  <si>
    <t>S3293</t>
  </si>
  <si>
    <t>Möbler Utanför Cs Rum</t>
  </si>
  <si>
    <t>S3296</t>
  </si>
  <si>
    <t>Balpress Fordverkst.Rantorget</t>
  </si>
  <si>
    <t>S3298</t>
  </si>
  <si>
    <t>Kompl Spåranläggn Majorna</t>
  </si>
  <si>
    <t>S3299</t>
  </si>
  <si>
    <t>Nytt Fast Sandsystem Majorna</t>
  </si>
  <si>
    <t>S3300</t>
  </si>
  <si>
    <t>Caf¯Bänk Matsal Rantorget</t>
  </si>
  <si>
    <t>S3301</t>
  </si>
  <si>
    <t>Våtdammsugare Vagnhallen Major</t>
  </si>
  <si>
    <t>S3302</t>
  </si>
  <si>
    <t>Reningsverk Ny Tvätt Rantorget</t>
  </si>
  <si>
    <t>S3303</t>
  </si>
  <si>
    <t>Ren.Agg. F Hydraulsyst Rantorg</t>
  </si>
  <si>
    <t>S3304</t>
  </si>
  <si>
    <t>Lyftsystem Sandpåfyllning</t>
  </si>
  <si>
    <t>S3306</t>
  </si>
  <si>
    <t>Arb.Plats Kontr.Stömavtag.Maj</t>
  </si>
  <si>
    <t>S3318</t>
  </si>
  <si>
    <t>Spårningsmask.Ks-400 Motorank</t>
  </si>
  <si>
    <t>S3319</t>
  </si>
  <si>
    <t>Luftfuktare Entresolplan Rant</t>
  </si>
  <si>
    <t>S3320</t>
  </si>
  <si>
    <t>Lyftar Till Spårvagnar M32</t>
  </si>
  <si>
    <t>S3321</t>
  </si>
  <si>
    <t>Hydralslangkoppling Till Spm31</t>
  </si>
  <si>
    <t>S7000</t>
  </si>
  <si>
    <t>Nätverk Till Majorna</t>
  </si>
  <si>
    <t>S7001</t>
  </si>
  <si>
    <t>Dator Till M32 Fordonveks.Ran</t>
  </si>
  <si>
    <t>S7004</t>
  </si>
  <si>
    <t>Tli Etapp 2</t>
  </si>
  <si>
    <t>S7005</t>
  </si>
  <si>
    <t>Renovering Av Undergalvsvarv R</t>
  </si>
  <si>
    <t>S7006</t>
  </si>
  <si>
    <t>Lyftbord Till Driftverstad M-R</t>
  </si>
  <si>
    <t>S7007</t>
  </si>
  <si>
    <t>Saxlift</t>
  </si>
  <si>
    <t>S7009</t>
  </si>
  <si>
    <t>Pinnlödningsaggregat Banteknik</t>
  </si>
  <si>
    <t>S7010</t>
  </si>
  <si>
    <t>Momentdragare</t>
  </si>
  <si>
    <t>S7012</t>
  </si>
  <si>
    <t>Pater Noster Lagerställ</t>
  </si>
  <si>
    <t>S7013</t>
  </si>
  <si>
    <t>Möbler Och  Inv Utbild Majorna</t>
  </si>
  <si>
    <t>S7014</t>
  </si>
  <si>
    <t>Möbler Och Inv Utbildn Majorna</t>
  </si>
  <si>
    <t>S7016</t>
  </si>
  <si>
    <t>Byte/Komplett Ac-Anläggning</t>
  </si>
  <si>
    <t>S7018</t>
  </si>
  <si>
    <t>Nedsänkta Sopkärl</t>
  </si>
  <si>
    <t>S7022</t>
  </si>
  <si>
    <t>Gps-Mätutrustning</t>
  </si>
  <si>
    <t>S7023</t>
  </si>
  <si>
    <t>Boggiepress M32 Rantorget</t>
  </si>
  <si>
    <t>S7024</t>
  </si>
  <si>
    <t>Ir-Indikering Sandsilos</t>
  </si>
  <si>
    <t>S7025</t>
  </si>
  <si>
    <t>Site Master</t>
  </si>
  <si>
    <t>S7026</t>
  </si>
  <si>
    <t>Depåanapssn Spår4,6 Majorna</t>
  </si>
  <si>
    <t>S7027</t>
  </si>
  <si>
    <t>Personalrum Lana</t>
  </si>
  <si>
    <t>S7028</t>
  </si>
  <si>
    <t>Personalrum Varmfrontsgatan</t>
  </si>
  <si>
    <t>S7058</t>
  </si>
  <si>
    <t>Fast Ac-Install.Kontor 1712</t>
  </si>
  <si>
    <t>S7059</t>
  </si>
  <si>
    <t>Isolations-/Resistansprovare</t>
  </si>
  <si>
    <t>S7060</t>
  </si>
  <si>
    <t>Frd,Lyftinrättning Spår 11</t>
  </si>
  <si>
    <t>S7061</t>
  </si>
  <si>
    <t>Avdragare Banmotorer</t>
  </si>
  <si>
    <t>S7062</t>
  </si>
  <si>
    <t>S7063</t>
  </si>
  <si>
    <t>S7065</t>
  </si>
  <si>
    <t>Högtryckstvätt M.Kringutrustn</t>
  </si>
  <si>
    <t>S7066</t>
  </si>
  <si>
    <t>Nytt Styrsystem</t>
  </si>
  <si>
    <t>S7068</t>
  </si>
  <si>
    <t>Truckvändare</t>
  </si>
  <si>
    <t>S7069</t>
  </si>
  <si>
    <t>Truck</t>
  </si>
  <si>
    <t>S7070</t>
  </si>
  <si>
    <t>Sandlåda I Spåevagn</t>
  </si>
  <si>
    <t>S7073</t>
  </si>
  <si>
    <t>Aggregatstativ, 6 St</t>
  </si>
  <si>
    <t>S7074</t>
  </si>
  <si>
    <t>Smörjutr. Till Hjulverkstad</t>
  </si>
  <si>
    <t>S7080</t>
  </si>
  <si>
    <t>S7081</t>
  </si>
  <si>
    <t>Handenhet Till Totalstation</t>
  </si>
  <si>
    <t>S7082</t>
  </si>
  <si>
    <t>S7083</t>
  </si>
  <si>
    <t>Svängarmar</t>
  </si>
  <si>
    <t>S7084</t>
  </si>
  <si>
    <t>Sopvals Ballast</t>
  </si>
  <si>
    <t>S7085</t>
  </si>
  <si>
    <t>Spårstoppare</t>
  </si>
  <si>
    <t>S7086</t>
  </si>
  <si>
    <t>Pallvåg Till Fd8</t>
  </si>
  <si>
    <t>S7087</t>
  </si>
  <si>
    <t>Reservkraftsaggregat Tli</t>
  </si>
  <si>
    <t>S7088</t>
  </si>
  <si>
    <t>Testutrustning</t>
  </si>
  <si>
    <t>S7090</t>
  </si>
  <si>
    <t>Stapeltruck</t>
  </si>
  <si>
    <t>S7091</t>
  </si>
  <si>
    <t>S7092</t>
  </si>
  <si>
    <t>Bromskraftsmätare Spv M31</t>
  </si>
  <si>
    <t>S7094</t>
  </si>
  <si>
    <t>Balanserinsstativ Cemb</t>
  </si>
  <si>
    <t>S7095</t>
  </si>
  <si>
    <t>Kylvagn</t>
  </si>
  <si>
    <t>S7096</t>
  </si>
  <si>
    <t>Alkomätare, 4 St</t>
  </si>
  <si>
    <t>S7098</t>
  </si>
  <si>
    <t>Totalstation Leica</t>
  </si>
  <si>
    <t>S7099</t>
  </si>
  <si>
    <t>Stoftaavskiljare</t>
  </si>
  <si>
    <t>S7100</t>
  </si>
  <si>
    <t>S7101</t>
  </si>
  <si>
    <t>Byte Golvbrädor I Vagnverstad</t>
  </si>
  <si>
    <t>S7102</t>
  </si>
  <si>
    <t>Kyl, Frys, Kylbänk</t>
  </si>
  <si>
    <t>S7103</t>
  </si>
  <si>
    <t>Skruvkompressor</t>
  </si>
  <si>
    <t>S7104</t>
  </si>
  <si>
    <t>Frysaggregat, Matsalen Rt</t>
  </si>
  <si>
    <t>S7105</t>
  </si>
  <si>
    <t>Lyftanord.Till Förarstol M32</t>
  </si>
  <si>
    <t>S7106</t>
  </si>
  <si>
    <t>Roterande Bord För Hjulringar</t>
  </si>
  <si>
    <t>S7107</t>
  </si>
  <si>
    <t>Möbler, P-Rum, Expedition Gk</t>
  </si>
  <si>
    <t>S7108</t>
  </si>
  <si>
    <t>Möbler Konferensrum Gk</t>
  </si>
  <si>
    <t>S7109</t>
  </si>
  <si>
    <t>P-Rum Wieselgrensplatsen</t>
  </si>
  <si>
    <t>S7110</t>
  </si>
  <si>
    <t>P-Rum Marklandsgatan</t>
  </si>
  <si>
    <t>S7113</t>
  </si>
  <si>
    <t>Skallskydd Etapp 1</t>
  </si>
  <si>
    <t>S7114</t>
  </si>
  <si>
    <t>Lyftbord Etapp 1</t>
  </si>
  <si>
    <t>S7115</t>
  </si>
  <si>
    <t>Domerkrafter 4 St</t>
  </si>
  <si>
    <t>S7116</t>
  </si>
  <si>
    <t>Induktionsvärme 12 Kw</t>
  </si>
  <si>
    <t>S7120</t>
  </si>
  <si>
    <t>Lyftbord Montering</t>
  </si>
  <si>
    <t>S7122</t>
  </si>
  <si>
    <t>Arbetsplatsgolv Hjulv.</t>
  </si>
  <si>
    <t>S7124</t>
  </si>
  <si>
    <t>S7125</t>
  </si>
  <si>
    <t>Klimatanläggning</t>
  </si>
  <si>
    <t>S7126</t>
  </si>
  <si>
    <t>Traversbana Hjulverkstad</t>
  </si>
  <si>
    <t>S7128</t>
  </si>
  <si>
    <t>Anordning Av Rälshuvudsmörj</t>
  </si>
  <si>
    <t>S7129</t>
  </si>
  <si>
    <t>Elektroniskskt Spårmått</t>
  </si>
  <si>
    <t>S7130</t>
  </si>
  <si>
    <t>Omformare Till Syningsvagn 143</t>
  </si>
  <si>
    <t>S7131</t>
  </si>
  <si>
    <t>Löpband Till Träningslokal</t>
  </si>
  <si>
    <t>S7132</t>
  </si>
  <si>
    <t>Svängkran Detaljmåleriet</t>
  </si>
  <si>
    <t>S7133</t>
  </si>
  <si>
    <t>Uppbyggnad Motorrevision M32</t>
  </si>
  <si>
    <t>S7135</t>
  </si>
  <si>
    <t>Begagnad Truck</t>
  </si>
  <si>
    <t>S7136</t>
  </si>
  <si>
    <t>Möbler</t>
  </si>
  <si>
    <t>S7138</t>
  </si>
  <si>
    <t>Stoftavskiljare</t>
  </si>
  <si>
    <t>S7142</t>
  </si>
  <si>
    <t>Reinvestering Video På Spårvag</t>
  </si>
  <si>
    <t>S7143</t>
  </si>
  <si>
    <t>Asfaltfräs</t>
  </si>
  <si>
    <t>Grupptotal: INVENT</t>
  </si>
  <si>
    <t>MARK</t>
  </si>
  <si>
    <t>2237</t>
  </si>
  <si>
    <t>Mark Backa 866:256</t>
  </si>
  <si>
    <t>Grupptotal: MARK</t>
  </si>
  <si>
    <t>Totalt</t>
  </si>
  <si>
    <t>Anläggningstillgång: Spärrad: Nej|Ja, Anl. datumfilter bokföring: 23-01-01..23-12-31</t>
  </si>
  <si>
    <t>Anskaffningskostnad 23-12-31</t>
  </si>
  <si>
    <t>Avskrivning 23-12-31</t>
  </si>
  <si>
    <t>Bokföringsvärde 23-12-31</t>
  </si>
  <si>
    <t>Anläggningstillgång: Spärrad: Nej|Ja, Anl. datumfilter bokföring: 24-01-01..24-12-31</t>
  </si>
  <si>
    <t>Anskaffningskostnad 24-12-31</t>
  </si>
  <si>
    <t>Avskrivning 24-12-31</t>
  </si>
  <si>
    <t>Bokföringsvärde 24-12-31</t>
  </si>
  <si>
    <t>Anläggningstillgång: Spärrad: Nej|Ja, Anl. datumfilter bokföring: 25-01-01..25-12-31</t>
  </si>
  <si>
    <t>Anskaffningskostnad 25-12-31</t>
  </si>
  <si>
    <t>Avskrivning 25-12-31</t>
  </si>
  <si>
    <t>Bokföringsvärde 25-12-31</t>
  </si>
  <si>
    <t>Anläggningstillgång: Spärrad: Nej|Ja, Anl. datumfilter bokföring: 26-01-01..26-12-31</t>
  </si>
  <si>
    <t>Anskaffningskostnad 26-12-31</t>
  </si>
  <si>
    <t>Avskrivning 26-12-31</t>
  </si>
  <si>
    <t>Bokföringsvärde 26-12-31</t>
  </si>
  <si>
    <t>Anläggningstillgång: Spärrad: Nej|Ja, Anl. datumfilter bokföring: 27-01-01..27-12-31</t>
  </si>
  <si>
    <t>Anskaffningskostnad 27-12-31</t>
  </si>
  <si>
    <t>Avskrivning 27-12-31</t>
  </si>
  <si>
    <t>Bokföringsvärde 27-12-31</t>
  </si>
  <si>
    <t>Anläggningstillgång: Spärrad: Nej|Ja, Anl. datumfilter bokföring: 28-01-01..28-12-31</t>
  </si>
  <si>
    <t>Anskaffningskostnad 28-12-31</t>
  </si>
  <si>
    <t>Avskrivning 28-12-31</t>
  </si>
  <si>
    <t>Bokföringsvärde 28-12-31</t>
  </si>
  <si>
    <t>Anläggningstillgång: Spärrad: Nej|Ja, Anl. datumfilter bokföring: 29-01-01..29-12-31</t>
  </si>
  <si>
    <t>Anskaffningskostnad 29-12-31</t>
  </si>
  <si>
    <t>Avskrivning 29-12-31</t>
  </si>
  <si>
    <t>Bokföringsvärde 29-12-31</t>
  </si>
  <si>
    <t>Anläggningstillgång: Spärrad: Nej|Ja, Anl. datumfilter bokföring: 2030-01-01..2030-12-31</t>
  </si>
  <si>
    <t>Anskaffningskostnad 2030-12-31</t>
  </si>
  <si>
    <t>Avskrivning 2030-12-31</t>
  </si>
  <si>
    <t>Bokföringsvärde 2030-12-31</t>
  </si>
  <si>
    <t>Anläggningstillgång: Spärrad: Nej|Ja, Anl. datumfilter bokföring: 2031-01-01..2031-12-31</t>
  </si>
  <si>
    <t>Anskaffningskostnad 2031-12-31</t>
  </si>
  <si>
    <t>Avskrivning 2031-12-31</t>
  </si>
  <si>
    <t>Bokföringsvärde 2031-12-31</t>
  </si>
  <si>
    <t>Anläggningstillgång: Spärrad: Nej|Ja, Anl. datumfilter bokföring: 2032-01-01..2032-12-31</t>
  </si>
  <si>
    <t>Anskaffningskostnad 2032-12-31</t>
  </si>
  <si>
    <t>Avskrivning 2032-12-31</t>
  </si>
  <si>
    <t>Bokföringsvärde 2032-12-31</t>
  </si>
  <si>
    <t>Infrastruktur Infor 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</si>
</sst>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r_-;\-* #,##0.00\ _k_r_-;_-* &quot;-&quot;??\ _k_r_-;_-@_-"/>
    <numFmt numFmtId="165" formatCode="#,##0.0"/>
    <numFmt numFmtId="166" formatCode="#,##0_ ;[Red]\-#,##0\ "/>
    <numFmt numFmtId="167" formatCode="0.0%"/>
    <numFmt numFmtId="168" formatCode="#,##0.000"/>
    <numFmt numFmtId="169" formatCode="0.0"/>
    <numFmt numFmtId="170" formatCode="[$-1041D]#,##0.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</font>
    <font>
      <b/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1"/>
      <color theme="0"/>
      <name val="Calibri"/>
      <family val="2"/>
    </font>
    <font>
      <sz val="10"/>
      <color theme="1"/>
      <name val="Calibri"/>
      <family val="2"/>
      <scheme val="minor"/>
    </font>
    <font>
      <b/>
      <i/>
      <sz val="12"/>
      <name val="Calibri"/>
      <family val="2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3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Segoe UI"/>
      <family val="2"/>
    </font>
    <font>
      <b/>
      <sz val="7"/>
      <color rgb="FF000000"/>
      <name val="Arial"/>
      <family val="2"/>
    </font>
    <font>
      <sz val="8"/>
      <color rgb="FF000000"/>
      <name val="Segoe UI"/>
      <family val="2"/>
    </font>
    <font>
      <sz val="10"/>
      <color rgb="FF000000"/>
      <name val="Arial"/>
      <family val="2"/>
    </font>
    <font>
      <b/>
      <sz val="14"/>
      <color rgb="FF000000"/>
      <name val="Segoe UI"/>
      <family val="2"/>
    </font>
    <font>
      <b/>
      <sz val="11"/>
      <color rgb="FF00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EFEFEF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CCCCCC"/>
      </top>
      <bottom/>
      <diagonal/>
    </border>
  </borders>
  <cellStyleXfs count="10">
    <xf numFmtId="0" fontId="0" fillId="0" borderId="0"/>
    <xf numFmtId="0" fontId="6" fillId="0" borderId="0"/>
    <xf numFmtId="0" fontId="1" fillId="5" borderId="0" applyNumberFormat="0" applyBorder="0" applyAlignment="0" applyProtection="0"/>
    <xf numFmtId="9" fontId="1" fillId="0" borderId="0" applyFont="0" applyFill="0" applyBorder="0" applyAlignment="0" applyProtection="0"/>
    <xf numFmtId="0" fontId="1" fillId="11" borderId="13" applyNumberFormat="0" applyFont="0" applyAlignment="0" applyProtection="0"/>
    <xf numFmtId="0" fontId="35" fillId="0" borderId="0" applyNumberForma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3" fillId="0" borderId="0"/>
    <xf numFmtId="0" fontId="39" fillId="0" borderId="0"/>
  </cellStyleXfs>
  <cellXfs count="255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4" fillId="0" borderId="5" xfId="0" applyFont="1" applyBorder="1"/>
    <xf numFmtId="0" fontId="0" fillId="0" borderId="5" xfId="0" applyBorder="1"/>
    <xf numFmtId="0" fontId="10" fillId="0" borderId="3" xfId="0" applyFont="1" applyBorder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4" fillId="0" borderId="3" xfId="0" applyFont="1" applyBorder="1"/>
    <xf numFmtId="0" fontId="9" fillId="0" borderId="0" xfId="0" applyFont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0" fontId="9" fillId="4" borderId="7" xfId="0" applyFont="1" applyFill="1" applyBorder="1" applyAlignment="1">
      <alignment horizontal="right" vertical="top" wrapText="1"/>
    </xf>
    <xf numFmtId="0" fontId="10" fillId="4" borderId="2" xfId="0" applyFont="1" applyFill="1" applyBorder="1" applyAlignment="1">
      <alignment horizontal="left" vertical="top" wrapText="1"/>
    </xf>
    <xf numFmtId="0" fontId="11" fillId="0" borderId="0" xfId="1" applyFont="1" applyAlignment="1">
      <alignment wrapText="1"/>
    </xf>
    <xf numFmtId="3" fontId="14" fillId="0" borderId="0" xfId="0" applyNumberFormat="1" applyFont="1"/>
    <xf numFmtId="3" fontId="11" fillId="0" borderId="0" xfId="0" applyNumberFormat="1" applyFont="1"/>
    <xf numFmtId="0" fontId="2" fillId="0" borderId="0" xfId="0" applyFont="1"/>
    <xf numFmtId="0" fontId="11" fillId="6" borderId="2" xfId="1" applyFont="1" applyFill="1" applyBorder="1" applyAlignment="1">
      <alignment wrapText="1"/>
    </xf>
    <xf numFmtId="0" fontId="12" fillId="0" borderId="2" xfId="1" applyFont="1" applyBorder="1" applyAlignment="1">
      <alignment horizontal="left" wrapText="1"/>
    </xf>
    <xf numFmtId="0" fontId="12" fillId="0" borderId="8" xfId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center"/>
    </xf>
    <xf numFmtId="3" fontId="3" fillId="2" borderId="8" xfId="1" applyNumberFormat="1" applyFont="1" applyFill="1" applyBorder="1"/>
    <xf numFmtId="0" fontId="12" fillId="0" borderId="8" xfId="1" applyFont="1" applyBorder="1" applyAlignment="1">
      <alignment horizontal="left" wrapText="1"/>
    </xf>
    <xf numFmtId="3" fontId="13" fillId="4" borderId="8" xfId="0" applyNumberFormat="1" applyFont="1" applyFill="1" applyBorder="1" applyAlignment="1">
      <alignment horizontal="right" vertical="top" wrapText="1"/>
    </xf>
    <xf numFmtId="3" fontId="13" fillId="4" borderId="8" xfId="0" applyNumberFormat="1" applyFont="1" applyFill="1" applyBorder="1" applyAlignment="1">
      <alignment horizontal="center" vertical="top" wrapText="1"/>
    </xf>
    <xf numFmtId="0" fontId="9" fillId="8" borderId="10" xfId="0" applyFont="1" applyFill="1" applyBorder="1" applyAlignment="1">
      <alignment horizontal="left" vertical="top" wrapText="1"/>
    </xf>
    <xf numFmtId="0" fontId="9" fillId="8" borderId="11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3" fontId="9" fillId="4" borderId="11" xfId="0" applyNumberFormat="1" applyFont="1" applyFill="1" applyBorder="1" applyAlignment="1">
      <alignment horizontal="center" vertical="top" wrapText="1"/>
    </xf>
    <xf numFmtId="0" fontId="16" fillId="7" borderId="8" xfId="0" applyFont="1" applyFill="1" applyBorder="1" applyAlignment="1">
      <alignment horizontal="right" vertical="top" wrapText="1"/>
    </xf>
    <xf numFmtId="0" fontId="16" fillId="0" borderId="0" xfId="0" applyFont="1" applyAlignment="1">
      <alignment horizontal="right" vertical="top" wrapText="1"/>
    </xf>
    <xf numFmtId="3" fontId="11" fillId="0" borderId="0" xfId="1" applyNumberFormat="1" applyFont="1"/>
    <xf numFmtId="3" fontId="12" fillId="2" borderId="8" xfId="1" applyNumberFormat="1" applyFont="1" applyFill="1" applyBorder="1"/>
    <xf numFmtId="0" fontId="18" fillId="9" borderId="4" xfId="1" applyFont="1" applyFill="1" applyBorder="1" applyAlignment="1">
      <alignment wrapText="1"/>
    </xf>
    <xf numFmtId="1" fontId="20" fillId="0" borderId="0" xfId="3" applyNumberFormat="1" applyFont="1" applyFill="1" applyBorder="1" applyAlignment="1">
      <alignment horizontal="center" vertical="center"/>
    </xf>
    <xf numFmtId="1" fontId="17" fillId="0" borderId="0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19" fillId="0" borderId="0" xfId="2" applyNumberFormat="1" applyFont="1" applyFill="1" applyBorder="1" applyAlignment="1">
      <alignment horizontal="center" vertical="center"/>
    </xf>
    <xf numFmtId="0" fontId="23" fillId="0" borderId="0" xfId="0" applyFont="1"/>
    <xf numFmtId="0" fontId="22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25" fillId="0" borderId="0" xfId="0" applyFont="1"/>
    <xf numFmtId="0" fontId="21" fillId="2" borderId="1" xfId="0" applyFont="1" applyFill="1" applyBorder="1" applyAlignment="1">
      <alignment horizontal="left" vertical="top"/>
    </xf>
    <xf numFmtId="0" fontId="24" fillId="0" borderId="0" xfId="0" applyFont="1"/>
    <xf numFmtId="165" fontId="8" fillId="0" borderId="0" xfId="0" applyNumberFormat="1" applyFont="1"/>
    <xf numFmtId="0" fontId="21" fillId="7" borderId="0" xfId="0" applyFont="1" applyFill="1"/>
    <xf numFmtId="0" fontId="21" fillId="0" borderId="0" xfId="0" applyFont="1"/>
    <xf numFmtId="0" fontId="26" fillId="9" borderId="4" xfId="1" applyFont="1" applyFill="1" applyBorder="1" applyAlignment="1">
      <alignment wrapText="1"/>
    </xf>
    <xf numFmtId="0" fontId="24" fillId="0" borderId="0" xfId="0" applyFont="1" applyAlignment="1">
      <alignment horizontal="center"/>
    </xf>
    <xf numFmtId="0" fontId="10" fillId="0" borderId="5" xfId="1" applyFont="1" applyBorder="1" applyAlignment="1">
      <alignment wrapText="1"/>
    </xf>
    <xf numFmtId="0" fontId="27" fillId="0" borderId="5" xfId="0" applyFont="1" applyBorder="1"/>
    <xf numFmtId="0" fontId="10" fillId="0" borderId="5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6" fontId="1" fillId="0" borderId="0" xfId="0" applyNumberFormat="1" applyFont="1" applyAlignment="1">
      <alignment horizontal="center"/>
    </xf>
    <xf numFmtId="0" fontId="7" fillId="0" borderId="1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5" xfId="1" applyFont="1" applyBorder="1" applyAlignment="1">
      <alignment wrapText="1"/>
    </xf>
    <xf numFmtId="3" fontId="11" fillId="0" borderId="14" xfId="1" applyNumberFormat="1" applyFont="1" applyBorder="1"/>
    <xf numFmtId="0" fontId="11" fillId="11" borderId="8" xfId="4" applyFont="1" applyBorder="1" applyAlignment="1">
      <alignment wrapText="1"/>
    </xf>
    <xf numFmtId="0" fontId="16" fillId="11" borderId="8" xfId="4" applyFont="1" applyBorder="1" applyAlignment="1">
      <alignment horizontal="right" vertical="top" wrapText="1"/>
    </xf>
    <xf numFmtId="3" fontId="13" fillId="4" borderId="11" xfId="0" applyNumberFormat="1" applyFont="1" applyFill="1" applyBorder="1" applyAlignment="1">
      <alignment horizontal="center" vertical="top" wrapText="1"/>
    </xf>
    <xf numFmtId="0" fontId="16" fillId="6" borderId="8" xfId="0" applyFont="1" applyFill="1" applyBorder="1" applyAlignment="1">
      <alignment horizontal="right" vertical="top" wrapText="1"/>
    </xf>
    <xf numFmtId="0" fontId="9" fillId="6" borderId="8" xfId="0" applyFont="1" applyFill="1" applyBorder="1" applyAlignment="1">
      <alignment horizontal="center"/>
    </xf>
    <xf numFmtId="0" fontId="7" fillId="0" borderId="0" xfId="1" applyFont="1" applyAlignment="1">
      <alignment wrapText="1"/>
    </xf>
    <xf numFmtId="3" fontId="1" fillId="0" borderId="2" xfId="0" applyNumberFormat="1" applyFont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3" fontId="9" fillId="4" borderId="10" xfId="0" applyNumberFormat="1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horizontal="center"/>
    </xf>
    <xf numFmtId="0" fontId="9" fillId="11" borderId="2" xfId="4" applyFont="1" applyBorder="1" applyAlignment="1">
      <alignment horizontal="center"/>
    </xf>
    <xf numFmtId="0" fontId="9" fillId="4" borderId="11" xfId="0" applyFont="1" applyFill="1" applyBorder="1" applyAlignment="1">
      <alignment horizontal="left" vertical="top" wrapText="1"/>
    </xf>
    <xf numFmtId="0" fontId="4" fillId="0" borderId="15" xfId="0" applyFont="1" applyBorder="1"/>
    <xf numFmtId="165" fontId="7" fillId="0" borderId="0" xfId="0" applyNumberFormat="1" applyFont="1"/>
    <xf numFmtId="0" fontId="12" fillId="14" borderId="2" xfId="1" applyFont="1" applyFill="1" applyBorder="1" applyAlignment="1">
      <alignment horizontal="left" wrapText="1"/>
    </xf>
    <xf numFmtId="0" fontId="12" fillId="14" borderId="8" xfId="1" applyFont="1" applyFill="1" applyBorder="1" applyAlignment="1">
      <alignment horizontal="center" wrapText="1"/>
    </xf>
    <xf numFmtId="0" fontId="9" fillId="14" borderId="9" xfId="0" applyFont="1" applyFill="1" applyBorder="1" applyAlignment="1">
      <alignment horizontal="left" vertical="top" wrapText="1"/>
    </xf>
    <xf numFmtId="0" fontId="0" fillId="0" borderId="12" xfId="0" applyBorder="1"/>
    <xf numFmtId="0" fontId="2" fillId="0" borderId="12" xfId="0" applyFont="1" applyBorder="1"/>
    <xf numFmtId="0" fontId="11" fillId="11" borderId="2" xfId="4" applyFont="1" applyBorder="1" applyAlignment="1">
      <alignment wrapText="1"/>
    </xf>
    <xf numFmtId="167" fontId="1" fillId="0" borderId="2" xfId="3" applyNumberFormat="1" applyFont="1" applyFill="1" applyBorder="1" applyAlignment="1">
      <alignment horizontal="center"/>
    </xf>
    <xf numFmtId="167" fontId="1" fillId="0" borderId="8" xfId="3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left" vertical="top" wrapText="1"/>
    </xf>
    <xf numFmtId="9" fontId="13" fillId="12" borderId="10" xfId="3" applyFont="1" applyFill="1" applyBorder="1" applyAlignment="1">
      <alignment horizontal="center" vertical="center" wrapText="1"/>
    </xf>
    <xf numFmtId="9" fontId="13" fillId="12" borderId="11" xfId="3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left" vertical="top" wrapText="1"/>
    </xf>
    <xf numFmtId="9" fontId="13" fillId="12" borderId="6" xfId="3" applyFont="1" applyFill="1" applyBorder="1" applyAlignment="1">
      <alignment horizontal="center" vertical="center" wrapText="1"/>
    </xf>
    <xf numFmtId="9" fontId="13" fillId="12" borderId="9" xfId="3" applyFont="1" applyFill="1" applyBorder="1" applyAlignment="1">
      <alignment horizontal="center" vertical="center" wrapText="1"/>
    </xf>
    <xf numFmtId="9" fontId="13" fillId="12" borderId="9" xfId="3" applyFont="1" applyFill="1" applyBorder="1" applyAlignment="1">
      <alignment horizontal="right" vertical="center" wrapText="1"/>
    </xf>
    <xf numFmtId="9" fontId="13" fillId="12" borderId="16" xfId="3" applyFont="1" applyFill="1" applyBorder="1" applyAlignment="1">
      <alignment horizontal="right" vertical="center" wrapText="1"/>
    </xf>
    <xf numFmtId="9" fontId="28" fillId="12" borderId="9" xfId="3" applyFont="1" applyFill="1" applyBorder="1" applyAlignment="1">
      <alignment horizontal="right" vertical="center" wrapText="1"/>
    </xf>
    <xf numFmtId="3" fontId="28" fillId="4" borderId="8" xfId="0" applyNumberFormat="1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3" fontId="13" fillId="12" borderId="11" xfId="0" applyNumberFormat="1" applyFont="1" applyFill="1" applyBorder="1" applyAlignment="1">
      <alignment horizontal="center" vertical="top" wrapText="1"/>
    </xf>
    <xf numFmtId="9" fontId="28" fillId="12" borderId="11" xfId="3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top" wrapText="1"/>
    </xf>
    <xf numFmtId="3" fontId="28" fillId="4" borderId="8" xfId="0" applyNumberFormat="1" applyFont="1" applyFill="1" applyBorder="1" applyAlignment="1">
      <alignment horizontal="center" vertical="top" wrapText="1"/>
    </xf>
    <xf numFmtId="3" fontId="28" fillId="4" borderId="2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left" vertical="top" wrapText="1"/>
    </xf>
    <xf numFmtId="3" fontId="9" fillId="4" borderId="8" xfId="0" applyNumberFormat="1" applyFont="1" applyFill="1" applyBorder="1" applyAlignment="1">
      <alignment horizontal="right" vertical="top" wrapText="1"/>
    </xf>
    <xf numFmtId="0" fontId="12" fillId="10" borderId="2" xfId="1" applyFont="1" applyFill="1" applyBorder="1" applyAlignment="1">
      <alignment horizontal="left" wrapText="1"/>
    </xf>
    <xf numFmtId="0" fontId="12" fillId="10" borderId="8" xfId="1" applyFont="1" applyFill="1" applyBorder="1" applyAlignment="1">
      <alignment horizontal="center" wrapText="1"/>
    </xf>
    <xf numFmtId="3" fontId="1" fillId="0" borderId="3" xfId="0" applyNumberFormat="1" applyFont="1" applyBorder="1" applyAlignment="1">
      <alignment horizontal="center"/>
    </xf>
    <xf numFmtId="3" fontId="28" fillId="4" borderId="3" xfId="0" applyNumberFormat="1" applyFont="1" applyFill="1" applyBorder="1" applyAlignment="1">
      <alignment horizontal="center" vertical="top" wrapText="1"/>
    </xf>
    <xf numFmtId="0" fontId="9" fillId="14" borderId="6" xfId="0" applyFont="1" applyFill="1" applyBorder="1" applyAlignment="1">
      <alignment horizontal="left" vertical="top" wrapText="1"/>
    </xf>
    <xf numFmtId="166" fontId="14" fillId="0" borderId="6" xfId="0" applyNumberFormat="1" applyFont="1" applyBorder="1" applyAlignment="1">
      <alignment horizontal="center"/>
    </xf>
    <xf numFmtId="0" fontId="11" fillId="13" borderId="2" xfId="0" applyFont="1" applyFill="1" applyBorder="1" applyAlignment="1">
      <alignment horizontal="center"/>
    </xf>
    <xf numFmtId="0" fontId="29" fillId="13" borderId="8" xfId="0" applyFont="1" applyFill="1" applyBorder="1" applyAlignment="1">
      <alignment horizontal="right" vertical="top" wrapText="1"/>
    </xf>
    <xf numFmtId="3" fontId="9" fillId="4" borderId="19" xfId="0" applyNumberFormat="1" applyFont="1" applyFill="1" applyBorder="1" applyAlignment="1">
      <alignment horizontal="center" vertical="top" wrapText="1"/>
    </xf>
    <xf numFmtId="0" fontId="9" fillId="11" borderId="8" xfId="4" applyFont="1" applyBorder="1" applyAlignment="1">
      <alignment horizontal="center"/>
    </xf>
    <xf numFmtId="3" fontId="10" fillId="4" borderId="8" xfId="0" applyNumberFormat="1" applyFont="1" applyFill="1" applyBorder="1" applyAlignment="1">
      <alignment horizontal="center" vertical="top" wrapText="1"/>
    </xf>
    <xf numFmtId="3" fontId="10" fillId="4" borderId="3" xfId="0" applyNumberFormat="1" applyFont="1" applyFill="1" applyBorder="1" applyAlignment="1">
      <alignment horizontal="center" vertical="top" wrapText="1"/>
    </xf>
    <xf numFmtId="3" fontId="13" fillId="4" borderId="2" xfId="0" applyNumberFormat="1" applyFont="1" applyFill="1" applyBorder="1" applyAlignment="1">
      <alignment horizontal="right" vertical="top" wrapText="1"/>
    </xf>
    <xf numFmtId="0" fontId="0" fillId="0" borderId="16" xfId="0" applyBorder="1"/>
    <xf numFmtId="0" fontId="16" fillId="7" borderId="2" xfId="0" applyFont="1" applyFill="1" applyBorder="1" applyAlignment="1">
      <alignment horizontal="right" vertical="top" wrapText="1"/>
    </xf>
    <xf numFmtId="3" fontId="3" fillId="2" borderId="2" xfId="1" applyNumberFormat="1" applyFont="1" applyFill="1" applyBorder="1"/>
    <xf numFmtId="3" fontId="10" fillId="4" borderId="2" xfId="0" applyNumberFormat="1" applyFont="1" applyFill="1" applyBorder="1" applyAlignment="1">
      <alignment horizontal="center" vertical="top" wrapText="1"/>
    </xf>
    <xf numFmtId="0" fontId="16" fillId="11" borderId="2" xfId="4" applyFont="1" applyBorder="1" applyAlignment="1">
      <alignment horizontal="right" vertical="top" wrapText="1"/>
    </xf>
    <xf numFmtId="0" fontId="0" fillId="0" borderId="3" xfId="0" applyBorder="1"/>
    <xf numFmtId="3" fontId="12" fillId="0" borderId="8" xfId="0" applyNumberFormat="1" applyFont="1" applyBorder="1" applyAlignment="1">
      <alignment horizontal="center"/>
    </xf>
    <xf numFmtId="3" fontId="3" fillId="10" borderId="2" xfId="0" applyNumberFormat="1" applyFont="1" applyFill="1" applyBorder="1" applyAlignment="1">
      <alignment horizontal="center"/>
    </xf>
    <xf numFmtId="0" fontId="9" fillId="0" borderId="12" xfId="0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center"/>
    </xf>
    <xf numFmtId="0" fontId="9" fillId="4" borderId="8" xfId="0" applyFont="1" applyFill="1" applyBorder="1" applyAlignment="1">
      <alignment horizontal="right" vertical="top" wrapText="1"/>
    </xf>
    <xf numFmtId="0" fontId="7" fillId="12" borderId="6" xfId="0" applyFont="1" applyFill="1" applyBorder="1" applyAlignment="1">
      <alignment horizontal="right" vertical="top" wrapText="1"/>
    </xf>
    <xf numFmtId="0" fontId="9" fillId="8" borderId="18" xfId="0" applyFont="1" applyFill="1" applyBorder="1" applyAlignment="1">
      <alignment horizontal="right" vertical="top" wrapText="1"/>
    </xf>
    <xf numFmtId="166" fontId="1" fillId="0" borderId="14" xfId="0" applyNumberFormat="1" applyFont="1" applyBorder="1" applyAlignment="1">
      <alignment horizontal="center"/>
    </xf>
    <xf numFmtId="166" fontId="1" fillId="0" borderId="5" xfId="0" applyNumberFormat="1" applyFont="1" applyBorder="1" applyAlignment="1">
      <alignment horizontal="center"/>
    </xf>
    <xf numFmtId="0" fontId="9" fillId="14" borderId="7" xfId="0" applyFont="1" applyFill="1" applyBorder="1" applyAlignment="1">
      <alignment horizontal="right" vertical="top" wrapText="1"/>
    </xf>
    <xf numFmtId="3" fontId="3" fillId="14" borderId="8" xfId="0" applyNumberFormat="1" applyFont="1" applyFill="1" applyBorder="1" applyAlignment="1">
      <alignment horizontal="center"/>
    </xf>
    <xf numFmtId="0" fontId="18" fillId="9" borderId="16" xfId="1" applyFont="1" applyFill="1" applyBorder="1" applyAlignment="1">
      <alignment wrapText="1"/>
    </xf>
    <xf numFmtId="0" fontId="18" fillId="9" borderId="8" xfId="1" applyFont="1" applyFill="1" applyBorder="1" applyAlignment="1">
      <alignment wrapText="1"/>
    </xf>
    <xf numFmtId="3" fontId="9" fillId="4" borderId="8" xfId="0" applyNumberFormat="1" applyFont="1" applyFill="1" applyBorder="1" applyAlignment="1">
      <alignment horizontal="center" vertical="top" wrapText="1"/>
    </xf>
    <xf numFmtId="166" fontId="14" fillId="0" borderId="11" xfId="0" applyNumberFormat="1" applyFont="1" applyBorder="1" applyAlignment="1">
      <alignment horizontal="center"/>
    </xf>
    <xf numFmtId="0" fontId="30" fillId="0" borderId="0" xfId="0" applyFont="1"/>
    <xf numFmtId="0" fontId="33" fillId="8" borderId="10" xfId="0" applyFont="1" applyFill="1" applyBorder="1" applyAlignment="1">
      <alignment horizontal="left" vertical="top" wrapText="1"/>
    </xf>
    <xf numFmtId="0" fontId="32" fillId="6" borderId="2" xfId="1" applyFont="1" applyFill="1" applyBorder="1" applyAlignment="1">
      <alignment vertical="center" wrapText="1"/>
    </xf>
    <xf numFmtId="0" fontId="32" fillId="13" borderId="2" xfId="1" applyFont="1" applyFill="1" applyBorder="1" applyAlignment="1">
      <alignment vertical="center" wrapText="1"/>
    </xf>
    <xf numFmtId="0" fontId="33" fillId="4" borderId="8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center"/>
    </xf>
    <xf numFmtId="3" fontId="28" fillId="15" borderId="8" xfId="0" applyNumberFormat="1" applyFont="1" applyFill="1" applyBorder="1" applyAlignment="1">
      <alignment horizontal="center" vertical="top" wrapText="1"/>
    </xf>
    <xf numFmtId="3" fontId="10" fillId="15" borderId="8" xfId="0" applyNumberFormat="1" applyFont="1" applyFill="1" applyBorder="1" applyAlignment="1">
      <alignment horizontal="center" vertical="top" wrapText="1"/>
    </xf>
    <xf numFmtId="9" fontId="13" fillId="16" borderId="11" xfId="3" applyFont="1" applyFill="1" applyBorder="1" applyAlignment="1">
      <alignment horizontal="center" vertical="center" wrapText="1"/>
    </xf>
    <xf numFmtId="0" fontId="9" fillId="17" borderId="8" xfId="0" applyFont="1" applyFill="1" applyBorder="1" applyAlignment="1">
      <alignment horizontal="center"/>
    </xf>
    <xf numFmtId="3" fontId="9" fillId="15" borderId="8" xfId="0" applyNumberFormat="1" applyFont="1" applyFill="1" applyBorder="1" applyAlignment="1">
      <alignment horizontal="center" vertical="top" wrapText="1"/>
    </xf>
    <xf numFmtId="9" fontId="13" fillId="16" borderId="9" xfId="3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/>
    </xf>
    <xf numFmtId="0" fontId="9" fillId="18" borderId="8" xfId="4" applyFont="1" applyFill="1" applyBorder="1" applyAlignment="1">
      <alignment horizontal="center"/>
    </xf>
    <xf numFmtId="3" fontId="9" fillId="15" borderId="10" xfId="0" applyNumberFormat="1" applyFont="1" applyFill="1" applyBorder="1" applyAlignment="1">
      <alignment horizontal="center" vertical="top" wrapText="1"/>
    </xf>
    <xf numFmtId="166" fontId="1" fillId="0" borderId="20" xfId="0" applyNumberFormat="1" applyFont="1" applyBorder="1" applyAlignment="1">
      <alignment horizontal="center"/>
    </xf>
    <xf numFmtId="3" fontId="9" fillId="4" borderId="3" xfId="0" applyNumberFormat="1" applyFont="1" applyFill="1" applyBorder="1" applyAlignment="1">
      <alignment horizontal="center" vertical="top" wrapText="1"/>
    </xf>
    <xf numFmtId="0" fontId="15" fillId="19" borderId="8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right" vertical="top" wrapText="1"/>
    </xf>
    <xf numFmtId="0" fontId="15" fillId="4" borderId="8" xfId="1" applyFont="1" applyFill="1" applyBorder="1" applyAlignment="1">
      <alignment horizontal="center" vertical="top" wrapText="1"/>
    </xf>
    <xf numFmtId="0" fontId="15" fillId="7" borderId="8" xfId="1" applyFont="1" applyFill="1" applyBorder="1" applyAlignment="1">
      <alignment horizontal="center" vertical="top" wrapText="1"/>
    </xf>
    <xf numFmtId="3" fontId="24" fillId="4" borderId="0" xfId="0" applyNumberFormat="1" applyFont="1" applyFill="1" applyAlignment="1">
      <alignment horizontal="center" vertical="center"/>
    </xf>
    <xf numFmtId="3" fontId="24" fillId="7" borderId="0" xfId="0" applyNumberFormat="1" applyFont="1" applyFill="1" applyAlignment="1">
      <alignment horizontal="center"/>
    </xf>
    <xf numFmtId="0" fontId="24" fillId="19" borderId="0" xfId="0" applyFont="1" applyFill="1" applyAlignment="1">
      <alignment horizontal="center"/>
    </xf>
    <xf numFmtId="3" fontId="35" fillId="0" borderId="0" xfId="5" applyNumberFormat="1" applyFill="1" applyBorder="1"/>
    <xf numFmtId="4" fontId="1" fillId="0" borderId="8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6" fillId="0" borderId="16" xfId="6" applyNumberFormat="1" applyBorder="1" applyAlignment="1" applyProtection="1">
      <alignment horizontal="center"/>
      <protection locked="0"/>
    </xf>
    <xf numFmtId="165" fontId="6" fillId="0" borderId="16" xfId="7" applyNumberFormat="1" applyFont="1" applyBorder="1" applyAlignment="1" applyProtection="1">
      <alignment horizontal="center"/>
      <protection locked="0"/>
    </xf>
    <xf numFmtId="165" fontId="6" fillId="0" borderId="21" xfId="7" applyNumberFormat="1" applyFont="1" applyBorder="1" applyAlignment="1" applyProtection="1">
      <alignment horizontal="center"/>
      <protection locked="0"/>
    </xf>
    <xf numFmtId="165" fontId="6" fillId="0" borderId="8" xfId="7" applyNumberFormat="1" applyFont="1" applyBorder="1" applyAlignment="1" applyProtection="1">
      <alignment horizontal="center"/>
      <protection locked="0"/>
    </xf>
    <xf numFmtId="3" fontId="6" fillId="0" borderId="21" xfId="7" applyNumberFormat="1" applyFont="1" applyBorder="1" applyAlignment="1" applyProtection="1">
      <alignment horizontal="center"/>
      <protection locked="0"/>
    </xf>
    <xf numFmtId="49" fontId="3" fillId="0" borderId="8" xfId="8" applyNumberFormat="1" applyBorder="1"/>
    <xf numFmtId="49" fontId="3" fillId="10" borderId="8" xfId="8" applyNumberFormat="1" applyFill="1" applyBorder="1"/>
    <xf numFmtId="0" fontId="3" fillId="0" borderId="2" xfId="1" applyFont="1" applyBorder="1" applyAlignment="1">
      <alignment horizontal="left" wrapText="1"/>
    </xf>
    <xf numFmtId="0" fontId="1" fillId="0" borderId="8" xfId="0" applyFont="1" applyBorder="1"/>
    <xf numFmtId="0" fontId="3" fillId="0" borderId="8" xfId="6" applyFont="1" applyBorder="1" applyProtection="1">
      <protection locked="0"/>
    </xf>
    <xf numFmtId="0" fontId="3" fillId="0" borderId="2" xfId="6" applyFont="1" applyBorder="1" applyProtection="1">
      <protection locked="0"/>
    </xf>
    <xf numFmtId="0" fontId="1" fillId="0" borderId="0" xfId="0" applyFont="1"/>
    <xf numFmtId="0" fontId="3" fillId="0" borderId="16" xfId="6" applyFont="1" applyBorder="1" applyProtection="1">
      <protection locked="0"/>
    </xf>
    <xf numFmtId="0" fontId="3" fillId="0" borderId="1" xfId="6" applyFont="1" applyBorder="1" applyProtection="1">
      <protection locked="0"/>
    </xf>
    <xf numFmtId="168" fontId="1" fillId="0" borderId="2" xfId="0" applyNumberFormat="1" applyFont="1" applyBorder="1" applyAlignment="1">
      <alignment horizontal="center"/>
    </xf>
    <xf numFmtId="168" fontId="1" fillId="0" borderId="8" xfId="0" applyNumberFormat="1" applyFont="1" applyBorder="1" applyAlignment="1">
      <alignment horizontal="center"/>
    </xf>
    <xf numFmtId="0" fontId="36" fillId="0" borderId="0" xfId="0" applyFont="1"/>
    <xf numFmtId="0" fontId="2" fillId="0" borderId="0" xfId="0" applyFont="1" applyAlignment="1">
      <alignment horizontal="center" vertical="center"/>
    </xf>
    <xf numFmtId="2" fontId="0" fillId="0" borderId="0" xfId="0" applyNumberFormat="1"/>
    <xf numFmtId="0" fontId="38" fillId="17" borderId="0" xfId="0" applyFont="1" applyFill="1"/>
    <xf numFmtId="0" fontId="38" fillId="17" borderId="26" xfId="0" applyFont="1" applyFill="1" applyBorder="1"/>
    <xf numFmtId="0" fontId="38" fillId="21" borderId="26" xfId="0" applyFont="1" applyFill="1" applyBorder="1"/>
    <xf numFmtId="0" fontId="38" fillId="20" borderId="26" xfId="0" applyFont="1" applyFill="1" applyBorder="1"/>
    <xf numFmtId="0" fontId="38" fillId="19" borderId="26" xfId="0" applyFont="1" applyFill="1" applyBorder="1"/>
    <xf numFmtId="0" fontId="0" fillId="22" borderId="27" xfId="0" applyFill="1" applyBorder="1"/>
    <xf numFmtId="0" fontId="0" fillId="22" borderId="25" xfId="0" applyFill="1" applyBorder="1"/>
    <xf numFmtId="169" fontId="0" fillId="22" borderId="25" xfId="0" applyNumberFormat="1" applyFill="1" applyBorder="1"/>
    <xf numFmtId="2" fontId="0" fillId="22" borderId="25" xfId="0" applyNumberFormat="1" applyFill="1" applyBorder="1"/>
    <xf numFmtId="2" fontId="2" fillId="22" borderId="25" xfId="0" applyNumberFormat="1" applyFont="1" applyFill="1" applyBorder="1"/>
    <xf numFmtId="0" fontId="0" fillId="23" borderId="28" xfId="0" applyFill="1" applyBorder="1"/>
    <xf numFmtId="0" fontId="0" fillId="23" borderId="29" xfId="0" applyFill="1" applyBorder="1"/>
    <xf numFmtId="2" fontId="0" fillId="23" borderId="29" xfId="0" applyNumberFormat="1" applyFill="1" applyBorder="1"/>
    <xf numFmtId="2" fontId="2" fillId="23" borderId="29" xfId="0" applyNumberFormat="1" applyFont="1" applyFill="1" applyBorder="1"/>
    <xf numFmtId="0" fontId="0" fillId="22" borderId="28" xfId="0" applyFill="1" applyBorder="1"/>
    <xf numFmtId="0" fontId="0" fillId="22" borderId="29" xfId="0" applyFill="1" applyBorder="1"/>
    <xf numFmtId="2" fontId="0" fillId="22" borderId="29" xfId="0" applyNumberFormat="1" applyFill="1" applyBorder="1"/>
    <xf numFmtId="2" fontId="2" fillId="22" borderId="29" xfId="0" applyNumberFormat="1" applyFont="1" applyFill="1" applyBorder="1"/>
    <xf numFmtId="0" fontId="8" fillId="0" borderId="0" xfId="9" applyFont="1"/>
    <xf numFmtId="0" fontId="8" fillId="24" borderId="0" xfId="9" applyFont="1" applyFill="1"/>
    <xf numFmtId="170" fontId="40" fillId="0" borderId="0" xfId="9" applyNumberFormat="1" applyFont="1" applyAlignment="1">
      <alignment horizontal="right" vertical="top" wrapText="1" readingOrder="1"/>
    </xf>
    <xf numFmtId="170" fontId="40" fillId="24" borderId="0" xfId="9" applyNumberFormat="1" applyFont="1" applyFill="1" applyAlignment="1">
      <alignment horizontal="right" vertical="top" wrapText="1" readingOrder="1"/>
    </xf>
    <xf numFmtId="0" fontId="40" fillId="0" borderId="0" xfId="9" applyFont="1" applyAlignment="1">
      <alignment horizontal="right" vertical="top" wrapText="1" readingOrder="1"/>
    </xf>
    <xf numFmtId="0" fontId="40" fillId="24" borderId="0" xfId="9" applyFont="1" applyFill="1" applyAlignment="1">
      <alignment horizontal="right" vertical="top" wrapText="1" readingOrder="1"/>
    </xf>
    <xf numFmtId="0" fontId="41" fillId="0" borderId="0" xfId="9" applyFont="1" applyAlignment="1">
      <alignment horizontal="left" vertical="center" wrapText="1" readingOrder="1"/>
    </xf>
    <xf numFmtId="0" fontId="41" fillId="0" borderId="0" xfId="9" applyFont="1" applyAlignment="1">
      <alignment vertical="center" wrapText="1" readingOrder="1"/>
    </xf>
    <xf numFmtId="170" fontId="40" fillId="0" borderId="31" xfId="9" applyNumberFormat="1" applyFont="1" applyBorder="1" applyAlignment="1">
      <alignment horizontal="right" vertical="top" wrapText="1" readingOrder="1"/>
    </xf>
    <xf numFmtId="170" fontId="40" fillId="24" borderId="31" xfId="9" applyNumberFormat="1" applyFont="1" applyFill="1" applyBorder="1" applyAlignment="1">
      <alignment horizontal="right" vertical="top" wrapText="1" readingOrder="1"/>
    </xf>
    <xf numFmtId="170" fontId="42" fillId="25" borderId="0" xfId="9" applyNumberFormat="1" applyFont="1" applyFill="1" applyAlignment="1">
      <alignment horizontal="right" vertical="top" wrapText="1" readingOrder="1"/>
    </xf>
    <xf numFmtId="170" fontId="42" fillId="26" borderId="0" xfId="9" applyNumberFormat="1" applyFont="1" applyFill="1" applyAlignment="1">
      <alignment horizontal="right" vertical="top" wrapText="1" readingOrder="1"/>
    </xf>
    <xf numFmtId="0" fontId="42" fillId="25" borderId="0" xfId="9" applyFont="1" applyFill="1" applyAlignment="1">
      <alignment horizontal="left" vertical="top" wrapText="1" readingOrder="1"/>
    </xf>
    <xf numFmtId="0" fontId="40" fillId="0" borderId="0" xfId="9" applyFont="1" applyAlignment="1">
      <alignment horizontal="right" wrapText="1" readingOrder="1"/>
    </xf>
    <xf numFmtId="0" fontId="40" fillId="24" borderId="0" xfId="9" applyFont="1" applyFill="1" applyAlignment="1">
      <alignment horizontal="right" wrapText="1" readingOrder="1"/>
    </xf>
    <xf numFmtId="0" fontId="40" fillId="0" borderId="0" xfId="9" applyFont="1" applyAlignment="1">
      <alignment horizontal="left" wrapText="1" readingOrder="1"/>
    </xf>
    <xf numFmtId="0" fontId="40" fillId="0" borderId="0" xfId="9" applyFont="1" applyAlignment="1">
      <alignment wrapText="1" readingOrder="1"/>
    </xf>
    <xf numFmtId="3" fontId="0" fillId="0" borderId="0" xfId="0" applyNumberFormat="1"/>
    <xf numFmtId="3" fontId="6" fillId="0" borderId="8" xfId="7" applyNumberFormat="1" applyFont="1" applyBorder="1" applyAlignment="1" applyProtection="1">
      <alignment horizontal="center"/>
      <protection locked="0"/>
    </xf>
    <xf numFmtId="4" fontId="1" fillId="0" borderId="3" xfId="0" applyNumberFormat="1" applyFont="1" applyBorder="1" applyAlignment="1">
      <alignment horizontal="center"/>
    </xf>
    <xf numFmtId="1" fontId="0" fillId="0" borderId="0" xfId="0" applyNumberFormat="1"/>
    <xf numFmtId="0" fontId="16" fillId="12" borderId="17" xfId="0" applyFont="1" applyFill="1" applyBorder="1" applyAlignment="1">
      <alignment horizontal="left" vertical="center" wrapText="1"/>
    </xf>
    <xf numFmtId="0" fontId="16" fillId="12" borderId="10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4" fontId="7" fillId="1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/>
    <xf numFmtId="0" fontId="45" fillId="27" borderId="1" xfId="0" applyFont="1" applyFill="1" applyBorder="1" applyAlignment="1"/>
    <xf numFmtId="0" fontId="45" fillId="27" borderId="3" xfId="0" applyFont="1" applyFill="1" applyBorder="1" applyAlignment="1"/>
    <xf numFmtId="0" fontId="45" fillId="27" borderId="2" xfId="0" applyFont="1" applyFill="1" applyBorder="1" applyAlignment="1"/>
    <xf numFmtId="0" fontId="45" fillId="27" borderId="1" xfId="0" applyFont="1" applyFill="1" applyBorder="1" applyAlignment="1">
      <alignment horizontal="left" vertical="top"/>
    </xf>
    <xf numFmtId="0" fontId="45" fillId="27" borderId="3" xfId="0" applyFont="1" applyFill="1" applyBorder="1" applyAlignment="1">
      <alignment horizontal="left" vertical="top"/>
    </xf>
    <xf numFmtId="0" fontId="45" fillId="27" borderId="2" xfId="0" applyFont="1" applyFill="1" applyBorder="1" applyAlignment="1">
      <alignment horizontal="left" vertical="top"/>
    </xf>
    <xf numFmtId="0" fontId="35" fillId="27" borderId="1" xfId="5" applyFill="1" applyBorder="1" applyAlignment="1">
      <alignment horizontal="left" vertical="top"/>
    </xf>
    <xf numFmtId="0" fontId="35" fillId="27" borderId="3" xfId="5" applyFill="1" applyBorder="1" applyAlignment="1">
      <alignment horizontal="left" vertical="top"/>
    </xf>
    <xf numFmtId="0" fontId="35" fillId="27" borderId="2" xfId="5" applyFill="1" applyBorder="1" applyAlignment="1">
      <alignment horizontal="left" vertical="top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4" fillId="0" borderId="0" xfId="9" applyFont="1" applyAlignment="1">
      <alignment vertical="center" wrapText="1" readingOrder="1"/>
    </xf>
    <xf numFmtId="0" fontId="8" fillId="0" borderId="0" xfId="9" applyFont="1" applyAlignment="1"/>
    <xf numFmtId="0" fontId="42" fillId="0" borderId="0" xfId="9" applyFont="1" applyAlignment="1">
      <alignment horizontal="right" vertical="center" wrapText="1" readingOrder="1"/>
    </xf>
    <xf numFmtId="0" fontId="42" fillId="0" borderId="0" xfId="9" applyFont="1" applyAlignment="1">
      <alignment vertical="center" wrapText="1" readingOrder="1"/>
    </xf>
    <xf numFmtId="170" fontId="42" fillId="25" borderId="0" xfId="9" applyNumberFormat="1" applyFont="1" applyFill="1" applyAlignment="1">
      <alignment horizontal="right" vertical="top" wrapText="1" readingOrder="1"/>
    </xf>
    <xf numFmtId="0" fontId="40" fillId="0" borderId="31" xfId="9" applyFont="1" applyBorder="1" applyAlignment="1">
      <alignment vertical="top" wrapText="1" readingOrder="1"/>
    </xf>
    <xf numFmtId="0" fontId="8" fillId="0" borderId="31" xfId="9" applyFont="1" applyBorder="1" applyAlignment="1">
      <alignment vertical="top" wrapText="1"/>
    </xf>
    <xf numFmtId="170" fontId="40" fillId="0" borderId="31" xfId="9" applyNumberFormat="1" applyFont="1" applyBorder="1" applyAlignment="1">
      <alignment horizontal="right" vertical="top" wrapText="1" readingOrder="1"/>
    </xf>
    <xf numFmtId="0" fontId="43" fillId="0" borderId="30" xfId="9" applyFont="1" applyBorder="1" applyAlignment="1">
      <alignment vertical="top" wrapText="1" readingOrder="1"/>
    </xf>
    <xf numFmtId="0" fontId="8" fillId="0" borderId="30" xfId="9" applyFont="1" applyBorder="1" applyAlignment="1">
      <alignment vertical="top" wrapText="1"/>
    </xf>
    <xf numFmtId="0" fontId="41" fillId="0" borderId="0" xfId="9" applyFont="1" applyAlignment="1">
      <alignment vertical="center" wrapText="1" readingOrder="1"/>
    </xf>
    <xf numFmtId="0" fontId="40" fillId="0" borderId="0" xfId="9" applyFont="1" applyAlignment="1">
      <alignment vertical="top" wrapText="1" readingOrder="1"/>
    </xf>
    <xf numFmtId="0" fontId="42" fillId="0" borderId="0" xfId="9" applyFont="1" applyAlignment="1">
      <alignment vertical="top" wrapText="1" readingOrder="1"/>
    </xf>
    <xf numFmtId="0" fontId="40" fillId="0" borderId="0" xfId="9" applyFont="1" applyAlignment="1">
      <alignment horizontal="right" wrapText="1" readingOrder="1"/>
    </xf>
    <xf numFmtId="0" fontId="40" fillId="0" borderId="0" xfId="9" applyFont="1" applyAlignment="1">
      <alignment horizontal="right" vertical="top" wrapText="1" readingOrder="1"/>
    </xf>
    <xf numFmtId="170" fontId="40" fillId="0" borderId="0" xfId="9" applyNumberFormat="1" applyFont="1" applyAlignment="1">
      <alignment horizontal="right" vertical="top" wrapText="1" readingOrder="1"/>
    </xf>
    <xf numFmtId="0" fontId="41" fillId="0" borderId="30" xfId="9" applyFont="1" applyBorder="1" applyAlignment="1">
      <alignment vertical="center" wrapText="1" readingOrder="1"/>
    </xf>
  </cellXfs>
  <cellStyles count="10">
    <cellStyle name="40 % - Dekorfärg5" xfId="2" builtinId="47"/>
    <cellStyle name="Anteckning" xfId="4" builtinId="10"/>
    <cellStyle name="Hyperlänk" xfId="5" builtinId="8"/>
    <cellStyle name="Normal" xfId="0" builtinId="0"/>
    <cellStyle name="Normal 2" xfId="6" xr:uid="{B02481FC-3E88-4A55-A626-FA42F459C49E}"/>
    <cellStyle name="Normal 3" xfId="1" xr:uid="{00000000-0005-0000-0000-000003000000}"/>
    <cellStyle name="Normal 4" xfId="9" xr:uid="{5923D833-867B-4BE9-A9C4-C3744DC1D7C7}"/>
    <cellStyle name="Normal_Ägda maskiner" xfId="8" xr:uid="{A1954F78-7482-478F-9EBC-8E7149BEECD0}"/>
    <cellStyle name="Procent" xfId="3" builtinId="5"/>
    <cellStyle name="Tusental 2" xfId="7" xr:uid="{395D1804-2D5F-4373-8D5D-4F377A846F3B}"/>
  </cellStyles>
  <dxfs count="28">
    <dxf>
      <numFmt numFmtId="3" formatCode="#,##0"/>
    </dxf>
    <dxf>
      <numFmt numFmtId="2" formatCode="0.0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color rgb="FF9C0006"/>
      </font>
    </dxf>
    <dxf>
      <font>
        <color rgb="FF9C0006"/>
      </font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Tot investeringar/Skuldförändring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Investeringsvolym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Investeringar!$F$17:$P$17</c:f>
              <c:numCache>
                <c:formatCode>General</c:formatCode>
                <c:ptCount val="1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</c:numCache>
            </c:numRef>
          </c:cat>
          <c:val>
            <c:numRef>
              <c:f>Investeringar!$F$100:$P$100</c:f>
              <c:numCache>
                <c:formatCode>#,##0</c:formatCode>
                <c:ptCount val="11"/>
                <c:pt idx="0">
                  <c:v>83.59</c:v>
                </c:pt>
                <c:pt idx="1">
                  <c:v>68.75</c:v>
                </c:pt>
                <c:pt idx="2">
                  <c:v>24.650000000000002</c:v>
                </c:pt>
                <c:pt idx="3">
                  <c:v>34.799999999999997</c:v>
                </c:pt>
                <c:pt idx="4">
                  <c:v>24.5</c:v>
                </c:pt>
                <c:pt idx="5">
                  <c:v>25</c:v>
                </c:pt>
                <c:pt idx="6">
                  <c:v>25</c:v>
                </c:pt>
                <c:pt idx="7">
                  <c:v>35.200000000000003</c:v>
                </c:pt>
                <c:pt idx="8">
                  <c:v>40.9</c:v>
                </c:pt>
                <c:pt idx="9">
                  <c:v>69.5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B-4296-9A72-E5CAC4A3C2F4}"/>
            </c:ext>
          </c:extLst>
        </c:ser>
        <c:ser>
          <c:idx val="1"/>
          <c:order val="1"/>
          <c:tx>
            <c:v>Skuldförändring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Investeringar!$F$17:$P$17</c:f>
              <c:numCache>
                <c:formatCode>General</c:formatCode>
                <c:ptCount val="1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</c:numCache>
            </c:numRef>
          </c:cat>
          <c:val>
            <c:numRef>
              <c:f>Investeringar!$F$105:$P$105</c:f>
              <c:numCache>
                <c:formatCode>#\ ##0_ ;[Red]\-#\ ##0\ </c:formatCode>
                <c:ptCount val="11"/>
                <c:pt idx="0">
                  <c:v>50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7B-4296-9A72-E5CAC4A3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5508488"/>
        <c:axId val="795511440"/>
      </c:barChart>
      <c:catAx>
        <c:axId val="79550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11440"/>
        <c:crosses val="autoZero"/>
        <c:auto val="1"/>
        <c:lblAlgn val="ctr"/>
        <c:lblOffset val="100"/>
        <c:noMultiLvlLbl val="0"/>
      </c:catAx>
      <c:valAx>
        <c:axId val="79551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508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Kapitalkostnader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Investeringar!$B$109</c:f>
              <c:strCache>
                <c:ptCount val="1"/>
                <c:pt idx="0">
                  <c:v>Avskrivning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Investeringar!$D$108:$P$108</c:f>
              <c:numCache>
                <c:formatCode>General</c:formatCode>
                <c:ptCount val="13"/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</c:numCache>
            </c:numRef>
          </c:cat>
          <c:val>
            <c:numRef>
              <c:f>Investeringar!$D$109:$P$109</c:f>
              <c:numCache>
                <c:formatCode>#,##0</c:formatCode>
                <c:ptCount val="13"/>
                <c:pt idx="2">
                  <c:v>24.455780099999998</c:v>
                </c:pt>
                <c:pt idx="3">
                  <c:v>35.078237479999991</c:v>
                </c:pt>
                <c:pt idx="4">
                  <c:v>38.274563349999987</c:v>
                </c:pt>
                <c:pt idx="5">
                  <c:v>41.833708850000001</c:v>
                </c:pt>
                <c:pt idx="6">
                  <c:v>44.718519129999997</c:v>
                </c:pt>
                <c:pt idx="7">
                  <c:v>42.337378670000007</c:v>
                </c:pt>
                <c:pt idx="8">
                  <c:v>39.278218200000012</c:v>
                </c:pt>
                <c:pt idx="9">
                  <c:v>39.732007760000002</c:v>
                </c:pt>
                <c:pt idx="10">
                  <c:v>40.358892710000006</c:v>
                </c:pt>
                <c:pt idx="11">
                  <c:v>41.659363450000001</c:v>
                </c:pt>
                <c:pt idx="12">
                  <c:v>39.515309719999998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C-4239-ACB0-3C3C4CCF6874}"/>
            </c:ext>
          </c:extLst>
        </c:ser>
        <c:ser>
          <c:idx val="1"/>
          <c:order val="1"/>
          <c:tx>
            <c:strRef>
              <c:f>Investeringar!$B$110</c:f>
              <c:strCache>
                <c:ptCount val="1"/>
                <c:pt idx="0">
                  <c:v>Räntekostnad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Investeringar!$D$108:$P$108</c:f>
              <c:numCache>
                <c:formatCode>General</c:formatCode>
                <c:ptCount val="13"/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</c:numCache>
            </c:numRef>
          </c:cat>
          <c:val>
            <c:numRef>
              <c:f>Investeringar!$D$110:$P$110</c:f>
              <c:numCache>
                <c:formatCode>#,##0</c:formatCode>
                <c:ptCount val="13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C-4239-ACB0-3C3C4CCF6874}"/>
            </c:ext>
          </c:extLst>
        </c:ser>
        <c:ser>
          <c:idx val="2"/>
          <c:order val="2"/>
          <c:tx>
            <c:strRef>
              <c:f>Investeringar!$B$111</c:f>
              <c:strCache>
                <c:ptCount val="1"/>
                <c:pt idx="0">
                  <c:v>Nedskrivning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Investeringar!$D$108:$P$108</c:f>
              <c:numCache>
                <c:formatCode>General</c:formatCode>
                <c:ptCount val="13"/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</c:numCache>
            </c:numRef>
          </c:cat>
          <c:val>
            <c:numRef>
              <c:f>Investeringar!$D$111:$P$111</c:f>
              <c:numCache>
                <c:formatCode>#,##0</c:formatCode>
                <c:ptCount val="13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C-4239-ACB0-3C3C4CCF6874}"/>
            </c:ext>
          </c:extLst>
        </c:ser>
        <c:ser>
          <c:idx val="3"/>
          <c:order val="3"/>
          <c:tx>
            <c:strRef>
              <c:f>Investeringar!$B$112</c:f>
              <c:strCache>
                <c:ptCount val="1"/>
                <c:pt idx="0">
                  <c:v>Summa kapitalkostnader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Investeringar!$D$108:$P$108</c:f>
              <c:numCache>
                <c:formatCode>General</c:formatCode>
                <c:ptCount val="13"/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</c:numCache>
            </c:numRef>
          </c:cat>
          <c:val>
            <c:numRef>
              <c:f>Investeringar!$D$112:$P$112</c:f>
              <c:numCache>
                <c:formatCode>#,##0</c:formatCode>
                <c:ptCount val="13"/>
                <c:pt idx="2">
                  <c:v>24.455780099999998</c:v>
                </c:pt>
                <c:pt idx="3">
                  <c:v>35.078237479999991</c:v>
                </c:pt>
                <c:pt idx="4">
                  <c:v>38.274563349999987</c:v>
                </c:pt>
                <c:pt idx="5">
                  <c:v>41.833708850000001</c:v>
                </c:pt>
                <c:pt idx="6">
                  <c:v>44.718519129999997</c:v>
                </c:pt>
                <c:pt idx="7">
                  <c:v>42.337378670000007</c:v>
                </c:pt>
                <c:pt idx="8">
                  <c:v>39.278218200000012</c:v>
                </c:pt>
                <c:pt idx="9">
                  <c:v>39.732007760000002</c:v>
                </c:pt>
                <c:pt idx="10">
                  <c:v>40.358892710000006</c:v>
                </c:pt>
                <c:pt idx="11">
                  <c:v>41.659363450000001</c:v>
                </c:pt>
                <c:pt idx="12">
                  <c:v>39.515309719999998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9C-4239-ACB0-3C3C4CCF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3125816"/>
        <c:axId val="893127456"/>
      </c:lineChart>
      <c:catAx>
        <c:axId val="893125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7456"/>
        <c:crosses val="autoZero"/>
        <c:auto val="1"/>
        <c:lblAlgn val="ctr"/>
        <c:lblOffset val="100"/>
        <c:noMultiLvlLbl val="0"/>
      </c:catAx>
      <c:valAx>
        <c:axId val="89312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93125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Egenfinansieringsgrad Nyinvesteringar</a:t>
            </a:r>
          </a:p>
        </c:rich>
      </c:tx>
      <c:layout>
        <c:manualLayout>
          <c:xMode val="edge"/>
          <c:yMode val="edge"/>
          <c:x val="0.19213888888888886"/>
          <c:y val="3.2407589954952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Investeringar!$F$17:$P$17</c:f>
              <c:numCache>
                <c:formatCode>General</c:formatCode>
                <c:ptCount val="1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</c:numCache>
            </c:numRef>
          </c:cat>
          <c:val>
            <c:numRef>
              <c:f>Investeringar!$F$55:$P$55</c:f>
              <c:numCache>
                <c:formatCode>0%</c:formatCode>
                <c:ptCount val="11"/>
                <c:pt idx="0">
                  <c:v>0.16135524991613559</c:v>
                </c:pt>
                <c:pt idx="1">
                  <c:v>4.2145593869731823E-2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E-41C4-A7C1-0C1C76736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5394672"/>
        <c:axId val="795393360"/>
      </c:barChart>
      <c:catAx>
        <c:axId val="79539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3360"/>
        <c:crosses val="autoZero"/>
        <c:auto val="1"/>
        <c:lblAlgn val="ctr"/>
        <c:lblOffset val="100"/>
        <c:noMultiLvlLbl val="0"/>
      </c:catAx>
      <c:valAx>
        <c:axId val="79539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95394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644339</xdr:colOff>
      <xdr:row>16</xdr:row>
      <xdr:rowOff>23532</xdr:rowOff>
    </xdr:from>
    <xdr:to>
      <xdr:col>29</xdr:col>
      <xdr:colOff>464343</xdr:colOff>
      <xdr:row>54</xdr:row>
      <xdr:rowOff>43702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FDF9D84-C432-4ACF-A833-099575705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16807</xdr:colOff>
      <xdr:row>101</xdr:row>
      <xdr:rowOff>180413</xdr:rowOff>
    </xdr:from>
    <xdr:to>
      <xdr:col>29</xdr:col>
      <xdr:colOff>452436</xdr:colOff>
      <xdr:row>112</xdr:row>
      <xdr:rowOff>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9962DCAB-8EF4-4C4F-AEF9-CE27CAADA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16809</xdr:colOff>
      <xdr:row>56</xdr:row>
      <xdr:rowOff>0</xdr:rowOff>
    </xdr:from>
    <xdr:to>
      <xdr:col>29</xdr:col>
      <xdr:colOff>440531</xdr:colOff>
      <xdr:row>101</xdr:row>
      <xdr:rowOff>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6D5C6836-D08E-423E-ABE4-49D62459C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isa Santa" id="{DA870285-B351-41B2-AF34-DB859C4878DE}" userId="S::alisa.santa@sparvagen.goteborg.se::d68cd883-dfb8-4764-8a75-1fa18f86454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117700-E4AA-4F0F-B860-43A3EEC4DEBF}" name="Uträkning" displayName="Uträkning" ref="A3:AC70" totalsRowCount="1">
  <autoFilter ref="A3:AC69" xr:uid="{AEF18F19-2BF8-47ED-9AF7-8BB35D1E685D}"/>
  <tableColumns count="29">
    <tableColumn id="1" xr3:uid="{E937D2CD-1C38-4FE8-AE82-7208F8CDC192}" name="Status" totalsRowLabel="Summa"/>
    <tableColumn id="2" xr3:uid="{9277BD16-8869-4AC8-863C-08F86A24B20B}" name="Antal år"/>
    <tableColumn id="3" xr3:uid="{AA377ECF-8AEE-45B6-AFC7-69B9E700B3C0}" name="Område/Projekt"/>
    <tableColumn id="4" xr3:uid="{59194105-98AD-419C-8B3F-6069E5022D2E}" name="2022" totalsRowFunction="sum" totalsRowDxfId="25"/>
    <tableColumn id="5" xr3:uid="{275B44C2-A00F-4440-BD03-5B13D86AD7A2}" name="2023" totalsRowFunction="sum" totalsRowDxfId="24"/>
    <tableColumn id="6" xr3:uid="{97F799DB-DA0C-4EB5-A846-2A51AA76E9B1}" name="2024" totalsRowFunction="sum" totalsRowDxfId="23"/>
    <tableColumn id="7" xr3:uid="{8F9D0DAC-F1FA-490F-8EC9-F07EE2B3AC0E}" name="2025" totalsRowFunction="sum" totalsRowDxfId="22"/>
    <tableColumn id="8" xr3:uid="{17E41F07-3432-4269-8DC4-F3CD523069C6}" name="2026" totalsRowFunction="sum" totalsRowDxfId="21"/>
    <tableColumn id="9" xr3:uid="{8C00222C-A64F-4D7D-AC3E-12FC341296C3}" name="2027" totalsRowFunction="sum" totalsRowDxfId="20"/>
    <tableColumn id="10" xr3:uid="{B22ED474-B590-42E7-A774-02426CB78FDE}" name="2028" totalsRowFunction="sum" totalsRowDxfId="19"/>
    <tableColumn id="11" xr3:uid="{6AF08DE7-7068-4850-B749-B47451500656}" name="2029" totalsRowFunction="sum" totalsRowDxfId="18"/>
    <tableColumn id="12" xr3:uid="{9F910C2C-BCF6-4FEB-8B59-13FFB2043B38}" name="2030" totalsRowFunction="sum" totalsRowDxfId="17"/>
    <tableColumn id="13" xr3:uid="{763510A7-5EB3-4025-9589-9DA358B5A976}" name="2031" totalsRowFunction="sum" totalsRowDxfId="16"/>
    <tableColumn id="14" xr3:uid="{6F94CFCB-59E4-48E0-9C75-39595C4FE684}" name="2032" totalsRowFunction="sum" totalsRowDxfId="15"/>
    <tableColumn id="15" xr3:uid="{8095AED2-BFDA-4FB8-B4D1-AA6CBF1122B0}" name="år 2022" totalsRowFunction="sum" totalsRowDxfId="14"/>
    <tableColumn id="16" xr3:uid="{8BCB9E4B-8DEF-4A71-B3B0-F4F17DB963DE}" name="år 2023" totalsRowFunction="sum" totalsRowDxfId="13"/>
    <tableColumn id="17" xr3:uid="{1026DF58-F89B-4FB8-A93D-95C813C90A84}" name="år 2024" totalsRowFunction="sum" totalsRowDxfId="12"/>
    <tableColumn id="18" xr3:uid="{3892C4C2-C753-4140-AAB3-C6187AC56C0B}" name="år 2025" totalsRowFunction="sum" totalsRowDxfId="11"/>
    <tableColumn id="19" xr3:uid="{F67C6174-3BE1-4CA4-BED1-8201D3358B49}" name="år 2026" totalsRowFunction="sum" totalsRowDxfId="10"/>
    <tableColumn id="20" xr3:uid="{74551B6B-94B8-417D-954B-740762ACE5B1}" name="år 2027" totalsRowFunction="sum" totalsRowDxfId="9"/>
    <tableColumn id="21" xr3:uid="{134F0D23-B889-47BB-8153-699499596264}" name="år 2028" totalsRowFunction="sum" totalsRowDxfId="8"/>
    <tableColumn id="22" xr3:uid="{977EA347-6A88-4EF5-AC41-402530D59767}" name="år 2029" totalsRowFunction="sum" totalsRowDxfId="7"/>
    <tableColumn id="23" xr3:uid="{5CDCEBFA-A6E0-4D9A-B541-CECF403DD6F9}" name="år 2030" totalsRowFunction="sum" totalsRowDxfId="6"/>
    <tableColumn id="24" xr3:uid="{4C09E3F6-368A-4B28-B3D0-4A80F077C06F}" name="år 2031" totalsRowFunction="sum" totalsRowDxfId="5"/>
    <tableColumn id="25" xr3:uid="{19F473C9-C664-417B-858F-06DF54648B76}" name="år 2032" totalsRowFunction="sum" totalsRowDxfId="4"/>
    <tableColumn id="26" xr3:uid="{13E3CC4C-E749-4300-A7F4-385E5CA74698}" name="&gt;10 år" totalsRowFunction="sum" totalsRowDxfId="3"/>
    <tableColumn id="27" xr3:uid="{BB3415AF-5DB2-49D5-A2C5-E736FA1E05AD}" name="Summa" totalsRowFunction="sum" totalsRowDxfId="2"/>
    <tableColumn id="28" xr3:uid="{9CE5EF71-2D47-4B09-95E6-4136089C43A3}" name="Diff" totalsRowFunction="sum" totalsRowDxfId="1"/>
    <tableColumn id="29" xr3:uid="{A98694A2-3ADD-4436-A11D-87735122FBD6}" name="Kommentar" totalsRowFunction="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D57475-FAAC-4878-A29D-AB56D0ADDA12}" name="ANLbudget" displayName="ANLbudget" ref="A1:B12" totalsRowShown="0">
  <autoFilter ref="A1:B12" xr:uid="{2257ABAF-BAB4-4DD0-A411-DA7A6E0C39A1}"/>
  <tableColumns count="2">
    <tableColumn id="1" xr3:uid="{97DC4997-E970-46A8-BCED-43348A2269D0}" name="År"/>
    <tableColumn id="2" xr3:uid="{8C2ED73C-8E20-48F3-BAD1-98950C9E3888}" name="Mkr" dataDxfId="0">
      <calculatedColumnFormula>-'2022'!$J$871/1000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C8B427E-5234-4D7F-AB09-CA2E0764DD1D}" name="Status" displayName="Status" ref="A1:B7" totalsRowShown="0">
  <autoFilter ref="A1:B7" xr:uid="{4D5863C4-C032-4EE0-B8A3-3F93FDC21B7B}"/>
  <tableColumns count="2">
    <tableColumn id="1" xr3:uid="{6E88B63F-3FC3-4C1E-B649-5F09CF13280F}" name="Status"/>
    <tableColumn id="2" xr3:uid="{763834A6-9A71-4010-A6CE-CE88A3E38D89}" name="Antal å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0" dT="2021-12-13T14:44:10.68" personId="{DA870285-B351-41B2-AF34-DB859C4878DE}" id="{59F282AB-DFA1-4A1D-ABDB-8A295DB0FAF9}">
    <text>Våtsug
Utrustning kamera bevakning för LC
Kantvikpress (Kantpress)
Måla om sandsilon
Kuren spår 19
Stoftsug spår 35,36,37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microsoft.com/office/2017/10/relationships/threadedComment" Target="../threadedComments/threadedComment1.xml"/><Relationship Id="rId2" Type="http://schemas.openxmlformats.org/officeDocument/2006/relationships/hyperlink" Target="mailto:linda.rudenwall@sparvagen.goteborg.se" TargetMode="External"/><Relationship Id="rId1" Type="http://schemas.openxmlformats.org/officeDocument/2006/relationships/hyperlink" Target="https://goteborg.se/wps/wcm/connect/c4507798-2eed-4f5d-b356-fe69822375db/City+of+Gothenburg+Green+Bond+Framework+2019-09-12.pdf?MOD=AJPERES&amp;CONVERT_TO=url&amp;CACHEID=ROOTWORKSPACE-c4507798-2eed-4f5d-b356-fe69822375db-n7Pm6PA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E129"/>
  <sheetViews>
    <sheetView tabSelected="1" zoomScale="73" zoomScaleNormal="73" workbookViewId="0">
      <selection activeCell="I6" sqref="I6"/>
    </sheetView>
  </sheetViews>
  <sheetFormatPr defaultRowHeight="14.5" x14ac:dyDescent="0.35"/>
  <cols>
    <col min="2" max="2" width="37.54296875" customWidth="1"/>
    <col min="3" max="3" width="7" customWidth="1"/>
    <col min="4" max="4" width="7.54296875" customWidth="1"/>
    <col min="5" max="5" width="8.81640625" customWidth="1"/>
    <col min="6" max="6" width="11" customWidth="1"/>
    <col min="7" max="8" width="11.1796875" customWidth="1"/>
    <col min="9" max="9" width="10.1796875" customWidth="1"/>
    <col min="10" max="10" width="10.54296875" customWidth="1"/>
    <col min="11" max="11" width="10.81640625" customWidth="1"/>
    <col min="12" max="12" width="11.81640625" customWidth="1"/>
    <col min="13" max="13" width="10" customWidth="1"/>
    <col min="14" max="14" width="10.54296875" customWidth="1"/>
    <col min="15" max="15" width="10.26953125" customWidth="1"/>
    <col min="16" max="16" width="10.54296875" customWidth="1"/>
    <col min="17" max="17" width="12.81640625" customWidth="1"/>
    <col min="18" max="18" width="12.26953125" customWidth="1"/>
    <col min="19" max="19" width="12.453125" customWidth="1"/>
    <col min="20" max="20" width="11" customWidth="1"/>
    <col min="21" max="21" width="9.81640625" customWidth="1"/>
    <col min="22" max="22" width="6.1796875" customWidth="1"/>
    <col min="23" max="23" width="9.81640625" customWidth="1"/>
    <col min="24" max="24" width="10" customWidth="1"/>
  </cols>
  <sheetData>
    <row r="2" spans="1:45" ht="15.5" x14ac:dyDescent="0.35">
      <c r="B2" s="38" t="s">
        <v>0</v>
      </c>
      <c r="C2" s="39"/>
      <c r="D2" s="39"/>
      <c r="E2" s="39"/>
      <c r="F2" s="39"/>
      <c r="G2" s="45"/>
      <c r="H2" s="45"/>
      <c r="I2" s="45"/>
      <c r="J2" s="39"/>
      <c r="K2" s="39"/>
      <c r="L2" s="155" t="s">
        <v>1</v>
      </c>
      <c r="M2" s="40" t="s">
        <v>2</v>
      </c>
      <c r="N2" s="39"/>
      <c r="O2" s="39"/>
      <c r="P2" s="39"/>
      <c r="Q2" s="39"/>
      <c r="R2" s="39"/>
      <c r="S2" s="41"/>
      <c r="T2" s="41"/>
      <c r="U2" s="41"/>
      <c r="V2" s="42"/>
      <c r="Y2" s="41"/>
      <c r="Z2" s="15"/>
      <c r="AA2" s="15"/>
      <c r="AB2" s="1"/>
      <c r="AC2" s="1"/>
      <c r="AD2" s="1"/>
    </row>
    <row r="3" spans="1:45" ht="15.5" x14ac:dyDescent="0.35">
      <c r="B3" s="43" t="s">
        <v>3</v>
      </c>
      <c r="C3" s="226" t="s">
        <v>4</v>
      </c>
      <c r="D3" s="227"/>
      <c r="E3" s="227"/>
      <c r="F3" s="228"/>
      <c r="G3" s="45"/>
      <c r="H3" s="39"/>
      <c r="I3" s="39"/>
      <c r="J3" s="39"/>
      <c r="K3" s="39"/>
      <c r="L3" s="156" t="s">
        <v>5</v>
      </c>
      <c r="M3" s="40" t="s">
        <v>6</v>
      </c>
      <c r="N3" s="41"/>
      <c r="O3" s="41"/>
      <c r="P3" s="41"/>
      <c r="Q3" s="41"/>
      <c r="R3" s="158" t="s">
        <v>7</v>
      </c>
      <c r="S3" s="39"/>
      <c r="T3" s="39"/>
      <c r="U3" s="39"/>
      <c r="V3" s="39"/>
      <c r="Y3" s="39"/>
    </row>
    <row r="4" spans="1:45" x14ac:dyDescent="0.35">
      <c r="B4" s="43" t="s">
        <v>8</v>
      </c>
      <c r="C4" s="229" t="s">
        <v>9</v>
      </c>
      <c r="D4" s="230"/>
      <c r="E4" s="230"/>
      <c r="F4" s="231"/>
      <c r="G4" s="45"/>
      <c r="H4" s="45"/>
      <c r="I4" s="45"/>
      <c r="J4" s="39"/>
      <c r="K4" s="39"/>
      <c r="L4" s="157" t="s">
        <v>10</v>
      </c>
      <c r="M4" s="44" t="s">
        <v>11</v>
      </c>
      <c r="N4" s="44"/>
      <c r="O4" s="39"/>
      <c r="P4" s="39"/>
      <c r="Q4" s="39"/>
      <c r="R4" s="39"/>
      <c r="S4" s="39"/>
      <c r="T4" s="39"/>
      <c r="U4" s="39"/>
      <c r="V4" s="39"/>
      <c r="Y4" s="39"/>
    </row>
    <row r="5" spans="1:45" x14ac:dyDescent="0.35">
      <c r="B5" s="43" t="s">
        <v>12</v>
      </c>
      <c r="C5" s="232" t="s">
        <v>13</v>
      </c>
      <c r="D5" s="233"/>
      <c r="E5" s="233"/>
      <c r="F5" s="234"/>
      <c r="G5" s="45"/>
      <c r="H5" s="39"/>
      <c r="I5" s="39"/>
      <c r="J5" s="39"/>
      <c r="K5" s="39"/>
      <c r="L5" s="49" t="s">
        <v>14</v>
      </c>
      <c r="M5" s="44" t="s">
        <v>15</v>
      </c>
      <c r="N5" s="44"/>
      <c r="O5" s="39"/>
      <c r="P5" s="39"/>
      <c r="Q5" s="39"/>
      <c r="R5" s="39"/>
      <c r="S5" s="39"/>
      <c r="T5" s="39"/>
      <c r="U5" s="39"/>
      <c r="V5" s="39"/>
      <c r="Y5" s="39"/>
    </row>
    <row r="6" spans="1:45" x14ac:dyDescent="0.35">
      <c r="B6" s="43" t="s">
        <v>16</v>
      </c>
      <c r="C6" s="229" t="s">
        <v>17</v>
      </c>
      <c r="D6" s="230"/>
      <c r="E6" s="230"/>
      <c r="F6" s="231"/>
      <c r="G6" s="45"/>
      <c r="H6" s="45"/>
      <c r="I6" s="45"/>
      <c r="J6" s="39"/>
      <c r="K6" s="39"/>
      <c r="L6" s="49" t="s">
        <v>18</v>
      </c>
      <c r="M6" s="44" t="s">
        <v>19</v>
      </c>
      <c r="N6" s="44"/>
      <c r="O6" s="39"/>
      <c r="P6" s="39"/>
      <c r="Q6" s="39"/>
      <c r="R6" s="39"/>
      <c r="S6" s="39"/>
      <c r="T6" s="39"/>
      <c r="U6" s="39"/>
      <c r="V6" s="39"/>
      <c r="Y6" s="39"/>
    </row>
    <row r="7" spans="1:45" x14ac:dyDescent="0.35">
      <c r="B7" s="39"/>
      <c r="C7" s="39"/>
      <c r="D7" s="39"/>
      <c r="E7" s="39"/>
      <c r="F7" s="39"/>
      <c r="G7" s="45"/>
      <c r="H7" s="39"/>
      <c r="I7" s="39"/>
      <c r="J7" s="39"/>
      <c r="K7" s="39"/>
      <c r="L7" s="49" t="s">
        <v>20</v>
      </c>
      <c r="M7" s="44" t="s">
        <v>21</v>
      </c>
      <c r="N7" s="44"/>
      <c r="O7" s="39"/>
      <c r="P7" s="39"/>
      <c r="Q7" s="39"/>
      <c r="R7" s="39"/>
      <c r="S7" s="39"/>
      <c r="T7" s="39"/>
      <c r="U7" s="39"/>
      <c r="V7" s="39"/>
      <c r="Y7" s="39"/>
    </row>
    <row r="8" spans="1:45" ht="15.5" x14ac:dyDescent="0.35">
      <c r="B8" s="38" t="s">
        <v>22</v>
      </c>
      <c r="C8" s="39"/>
      <c r="D8" s="45"/>
      <c r="F8" s="45"/>
      <c r="G8" s="45"/>
      <c r="H8" s="45"/>
      <c r="I8" s="45"/>
      <c r="J8" s="45"/>
      <c r="K8" s="45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Y8" s="39"/>
    </row>
    <row r="9" spans="1:45" x14ac:dyDescent="0.35">
      <c r="B9" s="43" t="s">
        <v>23</v>
      </c>
      <c r="C9" s="224">
        <v>44601</v>
      </c>
      <c r="D9" s="225"/>
      <c r="F9" s="45"/>
      <c r="G9" s="45"/>
      <c r="H9" s="45"/>
      <c r="I9" s="45"/>
      <c r="J9" s="45"/>
      <c r="K9" s="45"/>
      <c r="L9" s="46" t="s">
        <v>24</v>
      </c>
      <c r="M9" s="44" t="s">
        <v>25</v>
      </c>
      <c r="N9" s="39"/>
      <c r="O9" s="39"/>
      <c r="P9" s="39"/>
      <c r="Q9" s="39"/>
      <c r="R9" s="39"/>
      <c r="S9" s="39"/>
      <c r="T9" s="39"/>
      <c r="U9" s="39"/>
      <c r="V9" s="39"/>
      <c r="Y9" s="39"/>
    </row>
    <row r="10" spans="1:45" x14ac:dyDescent="0.35">
      <c r="B10" s="73"/>
      <c r="C10" s="73"/>
      <c r="D10" s="45"/>
      <c r="F10" s="45"/>
      <c r="G10" s="39"/>
      <c r="H10" s="39"/>
      <c r="I10" s="39"/>
      <c r="J10" s="39"/>
      <c r="K10" s="39"/>
      <c r="L10" s="47"/>
      <c r="M10" s="44"/>
      <c r="N10" s="39"/>
      <c r="O10" s="39"/>
      <c r="P10" s="39"/>
      <c r="Q10" s="39"/>
      <c r="R10" s="39"/>
      <c r="S10" s="39"/>
      <c r="T10" s="39"/>
      <c r="U10" s="39"/>
      <c r="V10" s="39"/>
      <c r="Y10" s="39"/>
    </row>
    <row r="11" spans="1:45" x14ac:dyDescent="0.35">
      <c r="B11" s="45"/>
      <c r="C11" s="45"/>
      <c r="D11" s="39"/>
      <c r="E11" s="39"/>
      <c r="F11" s="39"/>
      <c r="G11" s="39"/>
      <c r="H11" s="39"/>
      <c r="I11" s="39"/>
      <c r="J11" s="39"/>
      <c r="K11" s="39"/>
      <c r="L11" s="48" t="s">
        <v>26</v>
      </c>
      <c r="M11" s="44" t="s">
        <v>27</v>
      </c>
      <c r="N11" s="39"/>
      <c r="O11" s="39"/>
      <c r="P11" s="39"/>
      <c r="Q11" s="39"/>
      <c r="R11" s="39"/>
      <c r="S11" s="39"/>
      <c r="T11" s="39"/>
      <c r="U11" s="39"/>
      <c r="V11" s="39"/>
      <c r="Y11" s="39"/>
    </row>
    <row r="12" spans="1:45" ht="15.5" x14ac:dyDescent="0.35">
      <c r="B12" s="134" t="s">
        <v>28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4"/>
      <c r="N12" s="39"/>
      <c r="O12" s="39"/>
      <c r="P12" s="39"/>
      <c r="Q12" s="39"/>
      <c r="R12" s="39"/>
      <c r="S12" s="39"/>
      <c r="T12" s="39"/>
      <c r="U12" s="39"/>
      <c r="V12" s="39"/>
      <c r="Y12" s="39"/>
    </row>
    <row r="14" spans="1:45" ht="18.5" x14ac:dyDescent="0.45">
      <c r="B14" s="2" t="s">
        <v>29</v>
      </c>
      <c r="R14" s="2"/>
    </row>
    <row r="15" spans="1:45" ht="15" customHeight="1" x14ac:dyDescent="0.35">
      <c r="B15" s="65" t="s">
        <v>30</v>
      </c>
      <c r="C15" s="65"/>
      <c r="D15" s="65"/>
      <c r="E15" s="65"/>
      <c r="F15" s="65"/>
      <c r="G15" s="3"/>
      <c r="H15" s="3"/>
      <c r="I15" s="3"/>
      <c r="J15" s="3"/>
      <c r="K15" s="3"/>
      <c r="L15" s="3"/>
      <c r="M15" s="3"/>
      <c r="N15" s="3"/>
    </row>
    <row r="16" spans="1:45" s="4" customFormat="1" ht="15.5" x14ac:dyDescent="0.35">
      <c r="A16" s="1"/>
      <c r="B16" s="50"/>
      <c r="C16" s="50"/>
      <c r="D16" s="50"/>
      <c r="E16" s="51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24" ht="24.75" customHeight="1" x14ac:dyDescent="0.35">
      <c r="A17" s="77"/>
      <c r="B17" s="137" t="s">
        <v>31</v>
      </c>
      <c r="C17" s="153" t="s">
        <v>32</v>
      </c>
      <c r="D17" s="154" t="s">
        <v>33</v>
      </c>
      <c r="E17" s="151" t="s">
        <v>34</v>
      </c>
      <c r="F17" s="139">
        <v>2022</v>
      </c>
      <c r="G17" s="106">
        <v>2023</v>
      </c>
      <c r="H17" s="106">
        <v>2024</v>
      </c>
      <c r="I17" s="106">
        <v>2025</v>
      </c>
      <c r="J17" s="106">
        <v>2026</v>
      </c>
      <c r="K17" s="106">
        <v>2027</v>
      </c>
      <c r="L17" s="106">
        <v>2028</v>
      </c>
      <c r="M17" s="106">
        <v>2029</v>
      </c>
      <c r="N17" s="106">
        <v>2030</v>
      </c>
      <c r="O17" s="106">
        <v>2031</v>
      </c>
      <c r="P17" s="106">
        <v>2032</v>
      </c>
      <c r="Q17" s="107" t="s">
        <v>35</v>
      </c>
      <c r="R17" s="107" t="s">
        <v>36</v>
      </c>
      <c r="S17" s="107" t="s">
        <v>37</v>
      </c>
      <c r="T17" s="1"/>
      <c r="U17" s="1"/>
      <c r="V17" s="1"/>
      <c r="W17" s="1"/>
      <c r="X17" s="1"/>
    </row>
    <row r="18" spans="1:24" ht="15.5" x14ac:dyDescent="0.35">
      <c r="A18" s="77"/>
      <c r="B18" s="18" t="s">
        <v>38</v>
      </c>
      <c r="C18" s="19"/>
      <c r="D18" s="19"/>
      <c r="E18" s="119"/>
      <c r="F18" s="20"/>
      <c r="G18" s="66"/>
      <c r="H18" s="66"/>
      <c r="I18" s="20"/>
      <c r="J18" s="20"/>
      <c r="K18" s="20"/>
      <c r="L18" s="20"/>
      <c r="M18" s="20"/>
      <c r="N18" s="20"/>
      <c r="O18" s="20"/>
      <c r="P18" s="20"/>
      <c r="Q18" s="21">
        <f>SUM(G18+H18+I18+J18+K18)</f>
        <v>0</v>
      </c>
      <c r="R18" s="21">
        <f>SUM(L18+M18+N18+O18+P18)</f>
        <v>0</v>
      </c>
      <c r="S18" s="32">
        <f>SUM(Q18:R18)</f>
        <v>0</v>
      </c>
      <c r="T18" s="1"/>
      <c r="U18" s="1"/>
      <c r="V18" s="1"/>
      <c r="W18" s="1"/>
      <c r="X18" s="1"/>
    </row>
    <row r="19" spans="1:24" ht="15.5" x14ac:dyDescent="0.35">
      <c r="A19" s="77"/>
      <c r="B19" s="169" t="s">
        <v>39</v>
      </c>
      <c r="C19" s="19"/>
      <c r="D19" s="19"/>
      <c r="E19" s="119">
        <v>3</v>
      </c>
      <c r="F19" s="20"/>
      <c r="G19" s="66">
        <v>0.5</v>
      </c>
      <c r="H19" s="66">
        <v>0.5</v>
      </c>
      <c r="I19" s="20">
        <v>1</v>
      </c>
      <c r="J19" s="20">
        <v>1</v>
      </c>
      <c r="K19" s="20"/>
      <c r="L19" s="20"/>
      <c r="M19" s="20"/>
      <c r="N19" s="20"/>
      <c r="O19" s="20"/>
      <c r="P19" s="20"/>
      <c r="Q19" s="21">
        <f>SUM(G19+H19+I19+J19+K19)</f>
        <v>3</v>
      </c>
      <c r="R19" s="21">
        <f>SUM(L19+M19+N19+O19+P19)</f>
        <v>0</v>
      </c>
      <c r="S19" s="32">
        <f>SUM(Q19:R19)</f>
        <v>3</v>
      </c>
      <c r="T19" s="1"/>
      <c r="U19" s="1"/>
      <c r="V19" s="1"/>
      <c r="W19" s="1"/>
      <c r="X19" s="1"/>
    </row>
    <row r="20" spans="1:24" ht="15.5" x14ac:dyDescent="0.35">
      <c r="A20" s="77"/>
      <c r="B20" s="169" t="s">
        <v>40</v>
      </c>
      <c r="C20" s="19"/>
      <c r="D20" s="19"/>
      <c r="E20" s="119">
        <v>1</v>
      </c>
      <c r="F20" s="20">
        <f>1050000/1000000</f>
        <v>1.05</v>
      </c>
      <c r="G20" s="66"/>
      <c r="H20" s="66"/>
      <c r="I20" s="20"/>
      <c r="J20" s="20"/>
      <c r="K20" s="20"/>
      <c r="L20" s="20"/>
      <c r="M20" s="20"/>
      <c r="N20" s="20"/>
      <c r="O20" s="20"/>
      <c r="P20" s="20"/>
      <c r="Q20" s="21">
        <f t="shared" ref="Q20:Q50" si="0">SUM(G20+H20+I20+J20+K20)</f>
        <v>0</v>
      </c>
      <c r="R20" s="21">
        <f>SUM(L20+M20+N20+O20+P20)</f>
        <v>0</v>
      </c>
      <c r="S20" s="32">
        <f>SUM(Q20:R20)</f>
        <v>0</v>
      </c>
      <c r="T20" s="1"/>
      <c r="U20" s="1"/>
      <c r="V20" s="1"/>
      <c r="W20" s="1"/>
      <c r="X20" s="1"/>
    </row>
    <row r="21" spans="1:24" ht="15.5" x14ac:dyDescent="0.35">
      <c r="A21" s="77"/>
      <c r="B21" s="169" t="s">
        <v>41</v>
      </c>
      <c r="C21" s="19"/>
      <c r="D21" s="19"/>
      <c r="E21" s="119">
        <v>3</v>
      </c>
      <c r="F21" s="20">
        <v>0.9</v>
      </c>
      <c r="G21" s="66"/>
      <c r="H21" s="66"/>
      <c r="I21" s="20"/>
      <c r="J21" s="20"/>
      <c r="K21" s="20"/>
      <c r="L21" s="20"/>
      <c r="M21" s="20"/>
      <c r="N21" s="20"/>
      <c r="O21" s="20"/>
      <c r="P21" s="20"/>
      <c r="Q21" s="21">
        <f t="shared" si="0"/>
        <v>0</v>
      </c>
      <c r="R21" s="21">
        <f t="shared" ref="R21:R26" si="1">SUM(L21+M21+N21+O21+P21)</f>
        <v>0</v>
      </c>
      <c r="S21" s="32">
        <f t="shared" ref="S21:S26" si="2">SUM(Q21:R21)</f>
        <v>0</v>
      </c>
      <c r="T21" s="1"/>
      <c r="U21" s="1"/>
      <c r="V21" s="1"/>
      <c r="W21" s="1"/>
      <c r="X21" s="1"/>
    </row>
    <row r="22" spans="1:24" ht="15.5" x14ac:dyDescent="0.35">
      <c r="A22" s="77"/>
      <c r="B22" s="169" t="s">
        <v>42</v>
      </c>
      <c r="C22" s="19"/>
      <c r="D22" s="19"/>
      <c r="E22" s="119">
        <v>2</v>
      </c>
      <c r="F22" s="20">
        <v>4.8</v>
      </c>
      <c r="G22" s="66"/>
      <c r="H22" s="66"/>
      <c r="I22" s="20"/>
      <c r="J22" s="20"/>
      <c r="K22" s="20"/>
      <c r="L22" s="20"/>
      <c r="M22" s="20"/>
      <c r="N22" s="20"/>
      <c r="O22" s="20"/>
      <c r="P22" s="20"/>
      <c r="Q22" s="21">
        <f t="shared" si="0"/>
        <v>0</v>
      </c>
      <c r="R22" s="21">
        <f t="shared" si="1"/>
        <v>0</v>
      </c>
      <c r="S22" s="32">
        <f t="shared" si="2"/>
        <v>0</v>
      </c>
      <c r="T22" s="1"/>
      <c r="U22" s="1"/>
      <c r="V22" s="1"/>
      <c r="W22" s="1"/>
      <c r="X22" s="1"/>
    </row>
    <row r="23" spans="1:24" ht="15.5" x14ac:dyDescent="0.35">
      <c r="A23" s="77"/>
      <c r="B23" s="169" t="s">
        <v>43</v>
      </c>
      <c r="C23" s="19"/>
      <c r="D23" s="19"/>
      <c r="E23" s="119">
        <v>2</v>
      </c>
      <c r="F23" s="160">
        <v>0.372</v>
      </c>
      <c r="G23" s="66"/>
      <c r="H23" s="66"/>
      <c r="I23" s="20"/>
      <c r="J23" s="20"/>
      <c r="K23" s="20"/>
      <c r="L23" s="20"/>
      <c r="M23" s="20"/>
      <c r="N23" s="20"/>
      <c r="O23" s="20"/>
      <c r="P23" s="20"/>
      <c r="Q23" s="21">
        <f t="shared" si="0"/>
        <v>0</v>
      </c>
      <c r="R23" s="21">
        <f t="shared" si="1"/>
        <v>0</v>
      </c>
      <c r="S23" s="32">
        <f t="shared" si="2"/>
        <v>0</v>
      </c>
      <c r="T23" s="1"/>
      <c r="U23" s="1"/>
      <c r="V23" s="1"/>
      <c r="W23" s="1"/>
      <c r="X23" s="1"/>
    </row>
    <row r="24" spans="1:24" ht="15.5" x14ac:dyDescent="0.35">
      <c r="A24" s="77"/>
      <c r="B24" s="169" t="s">
        <v>44</v>
      </c>
      <c r="C24" s="19"/>
      <c r="D24" s="19"/>
      <c r="E24" s="119">
        <v>2</v>
      </c>
      <c r="F24" s="20">
        <v>0.75</v>
      </c>
      <c r="G24" s="66"/>
      <c r="H24" s="66"/>
      <c r="I24" s="20"/>
      <c r="J24" s="20"/>
      <c r="K24" s="20"/>
      <c r="L24" s="20"/>
      <c r="M24" s="20"/>
      <c r="N24" s="20"/>
      <c r="O24" s="20"/>
      <c r="P24" s="20"/>
      <c r="Q24" s="21">
        <f t="shared" si="0"/>
        <v>0</v>
      </c>
      <c r="R24" s="21">
        <f t="shared" si="1"/>
        <v>0</v>
      </c>
      <c r="S24" s="32">
        <f t="shared" si="2"/>
        <v>0</v>
      </c>
      <c r="T24" s="1"/>
      <c r="U24" s="1"/>
      <c r="V24" s="1"/>
      <c r="W24" s="1"/>
      <c r="X24" s="1"/>
    </row>
    <row r="25" spans="1:24" ht="15.5" x14ac:dyDescent="0.35">
      <c r="A25" s="77"/>
      <c r="B25" s="169" t="s">
        <v>45</v>
      </c>
      <c r="C25" s="19"/>
      <c r="D25" s="19"/>
      <c r="E25" s="119">
        <v>2</v>
      </c>
      <c r="F25" s="20">
        <v>1.9</v>
      </c>
      <c r="G25" s="66"/>
      <c r="H25" s="66"/>
      <c r="I25" s="20"/>
      <c r="J25" s="20"/>
      <c r="K25" s="20"/>
      <c r="L25" s="20"/>
      <c r="M25" s="20"/>
      <c r="N25" s="20"/>
      <c r="O25" s="20"/>
      <c r="P25" s="20"/>
      <c r="Q25" s="21">
        <f t="shared" si="0"/>
        <v>0</v>
      </c>
      <c r="R25" s="21">
        <f t="shared" si="1"/>
        <v>0</v>
      </c>
      <c r="S25" s="32">
        <f t="shared" si="2"/>
        <v>0</v>
      </c>
      <c r="T25" s="1"/>
      <c r="U25" s="1"/>
      <c r="V25" s="1"/>
      <c r="W25" s="1"/>
      <c r="X25" s="1"/>
    </row>
    <row r="26" spans="1:24" ht="15.5" x14ac:dyDescent="0.35">
      <c r="A26" s="77"/>
      <c r="B26" s="169" t="s">
        <v>46</v>
      </c>
      <c r="C26" s="19"/>
      <c r="D26" s="19"/>
      <c r="E26" s="119">
        <v>2</v>
      </c>
      <c r="F26" s="20">
        <v>2.5</v>
      </c>
      <c r="G26" s="66"/>
      <c r="H26" s="66"/>
      <c r="I26" s="20"/>
      <c r="J26" s="20"/>
      <c r="K26" s="20"/>
      <c r="L26" s="20"/>
      <c r="M26" s="20"/>
      <c r="N26" s="20"/>
      <c r="O26" s="20"/>
      <c r="P26" s="20"/>
      <c r="Q26" s="21">
        <f t="shared" si="0"/>
        <v>0</v>
      </c>
      <c r="R26" s="21">
        <f t="shared" si="1"/>
        <v>0</v>
      </c>
      <c r="S26" s="32">
        <f t="shared" si="2"/>
        <v>0</v>
      </c>
      <c r="T26" s="1"/>
      <c r="U26" s="1"/>
      <c r="V26" s="1"/>
      <c r="W26" s="1"/>
      <c r="X26" s="1"/>
    </row>
    <row r="27" spans="1:24" ht="15.5" x14ac:dyDescent="0.35">
      <c r="A27" s="77"/>
      <c r="B27" s="169" t="s">
        <v>47</v>
      </c>
      <c r="C27" s="19"/>
      <c r="D27" s="19"/>
      <c r="E27" s="119">
        <v>2</v>
      </c>
      <c r="F27" s="20">
        <v>2</v>
      </c>
      <c r="G27" s="66"/>
      <c r="H27" s="161"/>
      <c r="I27" s="160"/>
      <c r="J27" s="160"/>
      <c r="K27" s="160"/>
      <c r="L27" s="160"/>
      <c r="M27" s="160"/>
      <c r="N27" s="160"/>
      <c r="O27" s="160"/>
      <c r="P27" s="160"/>
      <c r="Q27" s="21">
        <f t="shared" si="0"/>
        <v>0</v>
      </c>
      <c r="R27" s="21">
        <f t="shared" ref="R27:R50" si="3">SUM(L27+M27+N27+O27+P27)</f>
        <v>0</v>
      </c>
      <c r="S27" s="32">
        <f t="shared" ref="S27:S50" si="4">SUM(Q27:R27)</f>
        <v>0</v>
      </c>
      <c r="T27" s="1"/>
      <c r="U27" s="1"/>
      <c r="V27" s="1"/>
      <c r="W27" s="1"/>
      <c r="X27" s="1"/>
    </row>
    <row r="28" spans="1:24" ht="15.5" x14ac:dyDescent="0.35">
      <c r="A28" s="77"/>
      <c r="B28" s="169" t="s">
        <v>48</v>
      </c>
      <c r="C28" s="19"/>
      <c r="D28" s="19"/>
      <c r="E28" s="119">
        <v>2</v>
      </c>
      <c r="F28" s="20">
        <v>0.6</v>
      </c>
      <c r="G28" s="66"/>
      <c r="H28" s="161"/>
      <c r="I28" s="160"/>
      <c r="J28" s="160"/>
      <c r="K28" s="160"/>
      <c r="L28" s="160"/>
      <c r="M28" s="160"/>
      <c r="N28" s="160"/>
      <c r="O28" s="160"/>
      <c r="P28" s="160"/>
      <c r="Q28" s="21">
        <f t="shared" si="0"/>
        <v>0</v>
      </c>
      <c r="R28" s="21">
        <f t="shared" si="3"/>
        <v>0</v>
      </c>
      <c r="S28" s="32">
        <f t="shared" si="4"/>
        <v>0</v>
      </c>
      <c r="T28" s="1"/>
      <c r="U28" s="1"/>
      <c r="V28" s="1"/>
      <c r="W28" s="1"/>
      <c r="X28" s="1"/>
    </row>
    <row r="29" spans="1:24" ht="15.5" x14ac:dyDescent="0.35">
      <c r="A29" s="77"/>
      <c r="B29" s="169" t="s">
        <v>49</v>
      </c>
      <c r="C29" s="19"/>
      <c r="D29" s="19"/>
      <c r="E29" s="119">
        <v>2</v>
      </c>
      <c r="F29" s="20">
        <v>1.5</v>
      </c>
      <c r="G29" s="66"/>
      <c r="H29" s="161"/>
      <c r="I29" s="160"/>
      <c r="J29" s="160"/>
      <c r="K29" s="160"/>
      <c r="L29" s="160"/>
      <c r="M29" s="160"/>
      <c r="N29" s="160"/>
      <c r="O29" s="160"/>
      <c r="P29" s="160"/>
      <c r="Q29" s="21">
        <f t="shared" si="0"/>
        <v>0</v>
      </c>
      <c r="R29" s="21">
        <f t="shared" si="3"/>
        <v>0</v>
      </c>
      <c r="S29" s="32">
        <f t="shared" si="4"/>
        <v>0</v>
      </c>
      <c r="T29" s="1"/>
      <c r="U29" s="1"/>
      <c r="V29" s="1"/>
      <c r="W29" s="1"/>
      <c r="X29" s="1"/>
    </row>
    <row r="30" spans="1:24" ht="15.5" x14ac:dyDescent="0.35">
      <c r="A30" s="77"/>
      <c r="B30" s="169" t="s">
        <v>1844</v>
      </c>
      <c r="C30" s="19"/>
      <c r="D30" s="19"/>
      <c r="E30" s="119">
        <v>2</v>
      </c>
      <c r="F30" s="20">
        <v>5.835</v>
      </c>
      <c r="G30" s="66"/>
      <c r="H30" s="161"/>
      <c r="I30" s="160"/>
      <c r="J30" s="160"/>
      <c r="K30" s="160"/>
      <c r="L30" s="160"/>
      <c r="M30" s="160"/>
      <c r="N30" s="160"/>
      <c r="O30" s="160"/>
      <c r="P30" s="160"/>
      <c r="Q30" s="21">
        <f t="shared" si="0"/>
        <v>0</v>
      </c>
      <c r="R30" s="21">
        <f t="shared" si="3"/>
        <v>0</v>
      </c>
      <c r="S30" s="32">
        <f t="shared" si="4"/>
        <v>0</v>
      </c>
      <c r="T30" s="1"/>
      <c r="U30" s="1"/>
      <c r="V30" s="1"/>
      <c r="W30" s="1"/>
      <c r="X30" s="1"/>
    </row>
    <row r="31" spans="1:24" ht="15.5" x14ac:dyDescent="0.35">
      <c r="A31" s="77"/>
      <c r="B31" s="170" t="s">
        <v>50</v>
      </c>
      <c r="C31" s="19"/>
      <c r="D31" s="19"/>
      <c r="E31" s="119">
        <v>2</v>
      </c>
      <c r="F31" s="20">
        <v>1.5</v>
      </c>
      <c r="G31" s="66"/>
      <c r="H31" s="161"/>
      <c r="I31" s="160"/>
      <c r="J31" s="160"/>
      <c r="K31" s="160"/>
      <c r="L31" s="160"/>
      <c r="M31" s="160"/>
      <c r="N31" s="160"/>
      <c r="O31" s="160"/>
      <c r="P31" s="160"/>
      <c r="Q31" s="21">
        <f t="shared" si="0"/>
        <v>0</v>
      </c>
      <c r="R31" s="21">
        <f t="shared" si="3"/>
        <v>0</v>
      </c>
      <c r="S31" s="32">
        <f t="shared" si="4"/>
        <v>0</v>
      </c>
      <c r="T31" s="1"/>
      <c r="U31" s="1"/>
      <c r="V31" s="1"/>
      <c r="W31" s="1"/>
      <c r="X31" s="1"/>
    </row>
    <row r="32" spans="1:24" ht="15.5" x14ac:dyDescent="0.35">
      <c r="A32" s="78"/>
      <c r="B32" s="171" t="s">
        <v>51</v>
      </c>
      <c r="C32" s="19"/>
      <c r="D32" s="19"/>
      <c r="E32" s="119">
        <v>2</v>
      </c>
      <c r="F32" s="20">
        <v>2</v>
      </c>
      <c r="G32" s="66"/>
      <c r="H32" s="161"/>
      <c r="I32" s="160"/>
      <c r="J32" s="160"/>
      <c r="K32" s="160"/>
      <c r="L32" s="160"/>
      <c r="M32" s="160"/>
      <c r="N32" s="160"/>
      <c r="O32" s="160"/>
      <c r="P32" s="160"/>
      <c r="Q32" s="21">
        <f t="shared" si="0"/>
        <v>0</v>
      </c>
      <c r="R32" s="21">
        <f t="shared" si="3"/>
        <v>0</v>
      </c>
      <c r="S32" s="32">
        <f t="shared" si="4"/>
        <v>0</v>
      </c>
      <c r="T32" s="1"/>
      <c r="U32" s="1"/>
      <c r="V32" s="1"/>
      <c r="W32" s="1"/>
      <c r="X32" s="1"/>
    </row>
    <row r="33" spans="1:24" ht="15.5" x14ac:dyDescent="0.35">
      <c r="A33" s="78"/>
      <c r="B33" s="172" t="s">
        <v>52</v>
      </c>
      <c r="C33" s="19"/>
      <c r="D33" s="19"/>
      <c r="E33" s="119">
        <v>2</v>
      </c>
      <c r="F33" s="20">
        <v>1.7</v>
      </c>
      <c r="G33" s="66"/>
      <c r="H33" s="161"/>
      <c r="I33" s="160"/>
      <c r="J33" s="160"/>
      <c r="K33" s="160"/>
      <c r="L33" s="160"/>
      <c r="M33" s="160"/>
      <c r="N33" s="160"/>
      <c r="O33" s="160"/>
      <c r="P33" s="160"/>
      <c r="Q33" s="21">
        <f t="shared" ref="Q33:Q47" si="5">SUM(G33+H33+I33+J33+K33)</f>
        <v>0</v>
      </c>
      <c r="R33" s="21">
        <f t="shared" ref="R33:R47" si="6">SUM(L33+M33+N33+O33+P33)</f>
        <v>0</v>
      </c>
      <c r="S33" s="32">
        <f t="shared" ref="S33:S47" si="7">SUM(Q33:R33)</f>
        <v>0</v>
      </c>
      <c r="T33" s="1"/>
      <c r="U33" s="1"/>
      <c r="V33" s="1"/>
      <c r="W33" s="1"/>
      <c r="X33" s="1"/>
    </row>
    <row r="34" spans="1:24" ht="15.5" x14ac:dyDescent="0.35">
      <c r="A34" s="78"/>
      <c r="B34" s="172" t="s">
        <v>53</v>
      </c>
      <c r="C34" s="19"/>
      <c r="D34" s="19"/>
      <c r="E34" s="119">
        <v>1</v>
      </c>
      <c r="F34" s="20">
        <v>5.5</v>
      </c>
      <c r="G34" s="66"/>
      <c r="H34" s="161"/>
      <c r="I34" s="160"/>
      <c r="J34" s="160"/>
      <c r="K34" s="160"/>
      <c r="L34" s="160"/>
      <c r="M34" s="160"/>
      <c r="N34" s="160"/>
      <c r="O34" s="160"/>
      <c r="P34" s="160"/>
      <c r="Q34" s="21">
        <f t="shared" si="5"/>
        <v>0</v>
      </c>
      <c r="R34" s="21">
        <f t="shared" si="6"/>
        <v>0</v>
      </c>
      <c r="S34" s="32">
        <f t="shared" si="7"/>
        <v>0</v>
      </c>
      <c r="T34" s="1"/>
      <c r="U34" s="1"/>
      <c r="V34" s="1"/>
      <c r="W34" s="1"/>
      <c r="X34" s="1"/>
    </row>
    <row r="35" spans="1:24" ht="15.5" x14ac:dyDescent="0.35">
      <c r="A35" s="78"/>
      <c r="B35" s="172" t="s">
        <v>54</v>
      </c>
      <c r="C35" s="19"/>
      <c r="D35" s="19"/>
      <c r="E35" s="119">
        <v>2</v>
      </c>
      <c r="F35" s="20">
        <v>10</v>
      </c>
      <c r="G35" s="66"/>
      <c r="H35" s="161"/>
      <c r="I35" s="160"/>
      <c r="J35" s="160"/>
      <c r="K35" s="160"/>
      <c r="L35" s="160"/>
      <c r="M35" s="160"/>
      <c r="N35" s="160"/>
      <c r="O35" s="160"/>
      <c r="P35" s="160"/>
      <c r="Q35" s="21">
        <f t="shared" si="5"/>
        <v>0</v>
      </c>
      <c r="R35" s="21">
        <f t="shared" si="6"/>
        <v>0</v>
      </c>
      <c r="S35" s="32">
        <f t="shared" si="7"/>
        <v>0</v>
      </c>
      <c r="T35" s="1"/>
      <c r="U35" s="1"/>
      <c r="V35" s="1"/>
      <c r="W35" s="1"/>
      <c r="X35" s="1"/>
    </row>
    <row r="36" spans="1:24" ht="15.5" x14ac:dyDescent="0.35">
      <c r="A36" s="78"/>
      <c r="B36" s="172" t="s">
        <v>55</v>
      </c>
      <c r="C36" s="19"/>
      <c r="D36" s="19"/>
      <c r="E36" s="119">
        <v>2</v>
      </c>
      <c r="F36" s="20"/>
      <c r="G36" s="66"/>
      <c r="H36" s="66"/>
      <c r="I36" s="20">
        <v>10</v>
      </c>
      <c r="J36" s="20"/>
      <c r="K36" s="20"/>
      <c r="L36" s="20"/>
      <c r="M36" s="20">
        <v>10</v>
      </c>
      <c r="N36" s="20"/>
      <c r="O36" s="20"/>
      <c r="P36" s="20"/>
      <c r="Q36" s="21">
        <f t="shared" si="5"/>
        <v>10</v>
      </c>
      <c r="R36" s="21">
        <f t="shared" si="6"/>
        <v>10</v>
      </c>
      <c r="S36" s="32">
        <f t="shared" si="7"/>
        <v>20</v>
      </c>
      <c r="T36" s="1"/>
      <c r="U36" s="1"/>
      <c r="V36" s="1"/>
      <c r="W36" s="1"/>
      <c r="X36" s="1"/>
    </row>
    <row r="37" spans="1:24" ht="15.5" x14ac:dyDescent="0.35">
      <c r="A37" s="78"/>
      <c r="B37" s="167" t="s">
        <v>56</v>
      </c>
      <c r="C37" s="19"/>
      <c r="D37" s="19"/>
      <c r="E37" s="119">
        <v>3</v>
      </c>
      <c r="F37" s="160">
        <v>6.8000000000000005E-2</v>
      </c>
      <c r="G37" s="66"/>
      <c r="H37" s="176"/>
      <c r="I37" s="177"/>
      <c r="J37" s="177"/>
      <c r="K37" s="177"/>
      <c r="L37" s="177"/>
      <c r="M37" s="177"/>
      <c r="N37" s="177"/>
      <c r="O37" s="177"/>
      <c r="P37" s="177"/>
      <c r="Q37" s="21">
        <f t="shared" si="5"/>
        <v>0</v>
      </c>
      <c r="R37" s="21">
        <f t="shared" si="6"/>
        <v>0</v>
      </c>
      <c r="S37" s="32">
        <f t="shared" si="7"/>
        <v>0</v>
      </c>
      <c r="T37" s="1"/>
      <c r="U37" s="1"/>
      <c r="V37" s="1"/>
      <c r="W37" s="1"/>
      <c r="X37" s="1"/>
    </row>
    <row r="38" spans="1:24" ht="15.5" x14ac:dyDescent="0.35">
      <c r="A38" s="78"/>
      <c r="B38" s="168" t="s">
        <v>57</v>
      </c>
      <c r="C38" s="19"/>
      <c r="D38" s="19"/>
      <c r="E38" s="119">
        <v>3</v>
      </c>
      <c r="F38" s="160">
        <v>0.09</v>
      </c>
      <c r="G38" s="66"/>
      <c r="H38" s="176"/>
      <c r="I38" s="177"/>
      <c r="J38" s="177"/>
      <c r="K38" s="177"/>
      <c r="L38" s="177"/>
      <c r="M38" s="177"/>
      <c r="N38" s="177"/>
      <c r="O38" s="177"/>
      <c r="P38" s="177"/>
      <c r="Q38" s="21">
        <f t="shared" si="5"/>
        <v>0</v>
      </c>
      <c r="R38" s="21">
        <f t="shared" si="6"/>
        <v>0</v>
      </c>
      <c r="S38" s="32">
        <f t="shared" si="7"/>
        <v>0</v>
      </c>
      <c r="T38" s="1"/>
      <c r="U38" s="1"/>
      <c r="V38" s="1"/>
      <c r="W38" s="1"/>
      <c r="X38" s="1"/>
    </row>
    <row r="39" spans="1:24" ht="15.5" x14ac:dyDescent="0.35">
      <c r="A39" s="78"/>
      <c r="B39" s="168" t="s">
        <v>58</v>
      </c>
      <c r="C39" s="19"/>
      <c r="D39" s="19"/>
      <c r="E39" s="119">
        <v>3</v>
      </c>
      <c r="F39" s="160">
        <v>0.08</v>
      </c>
      <c r="G39" s="66"/>
      <c r="H39" s="176"/>
      <c r="I39" s="177"/>
      <c r="J39" s="177"/>
      <c r="K39" s="177"/>
      <c r="L39" s="177"/>
      <c r="M39" s="177"/>
      <c r="N39" s="177"/>
      <c r="O39" s="177"/>
      <c r="P39" s="177"/>
      <c r="Q39" s="21">
        <f t="shared" si="5"/>
        <v>0</v>
      </c>
      <c r="R39" s="21">
        <f t="shared" si="6"/>
        <v>0</v>
      </c>
      <c r="S39" s="32">
        <f t="shared" si="7"/>
        <v>0</v>
      </c>
      <c r="T39" s="1"/>
      <c r="U39" s="1"/>
      <c r="V39" s="1"/>
      <c r="W39" s="1"/>
      <c r="X39" s="1"/>
    </row>
    <row r="40" spans="1:24" ht="15.5" x14ac:dyDescent="0.35">
      <c r="A40" s="78"/>
      <c r="B40" s="168" t="s">
        <v>58</v>
      </c>
      <c r="C40" s="19"/>
      <c r="D40" s="19"/>
      <c r="E40" s="119">
        <v>3</v>
      </c>
      <c r="F40" s="160">
        <v>0.15</v>
      </c>
      <c r="G40" s="66"/>
      <c r="H40" s="176"/>
      <c r="I40" s="177"/>
      <c r="J40" s="177"/>
      <c r="K40" s="177"/>
      <c r="L40" s="177"/>
      <c r="M40" s="177"/>
      <c r="N40" s="177"/>
      <c r="O40" s="177"/>
      <c r="P40" s="177"/>
      <c r="Q40" s="21">
        <f t="shared" si="5"/>
        <v>0</v>
      </c>
      <c r="R40" s="21">
        <f t="shared" si="6"/>
        <v>0</v>
      </c>
      <c r="S40" s="32">
        <f t="shared" si="7"/>
        <v>0</v>
      </c>
      <c r="T40" s="1"/>
      <c r="U40" s="1"/>
      <c r="V40" s="1"/>
      <c r="W40" s="1"/>
      <c r="X40" s="1"/>
    </row>
    <row r="41" spans="1:24" ht="15.5" x14ac:dyDescent="0.35">
      <c r="A41" s="78"/>
      <c r="B41" s="171" t="s">
        <v>59</v>
      </c>
      <c r="C41" s="19"/>
      <c r="D41" s="19"/>
      <c r="E41" s="119">
        <v>2</v>
      </c>
      <c r="F41" s="160"/>
      <c r="G41" s="66">
        <v>2</v>
      </c>
      <c r="H41" s="176"/>
      <c r="I41" s="177"/>
      <c r="J41" s="177"/>
      <c r="K41" s="177"/>
      <c r="L41" s="177"/>
      <c r="M41" s="177"/>
      <c r="N41" s="177"/>
      <c r="O41" s="177"/>
      <c r="P41" s="177"/>
      <c r="Q41" s="21">
        <f t="shared" si="5"/>
        <v>2</v>
      </c>
      <c r="R41" s="21">
        <f t="shared" si="6"/>
        <v>0</v>
      </c>
      <c r="S41" s="32">
        <f t="shared" si="7"/>
        <v>2</v>
      </c>
      <c r="T41" s="1"/>
      <c r="U41" s="1"/>
      <c r="V41" s="1"/>
      <c r="W41" s="1"/>
      <c r="X41" s="1"/>
    </row>
    <row r="42" spans="1:24" ht="15.5" x14ac:dyDescent="0.35">
      <c r="A42" s="78"/>
      <c r="B42" s="171" t="s">
        <v>60</v>
      </c>
      <c r="C42" s="19"/>
      <c r="D42" s="19"/>
      <c r="E42" s="119">
        <v>2</v>
      </c>
      <c r="F42" s="160">
        <v>0.36499999999999999</v>
      </c>
      <c r="G42" s="161"/>
      <c r="H42" s="176"/>
      <c r="I42" s="177"/>
      <c r="J42" s="177"/>
      <c r="K42" s="177"/>
      <c r="L42" s="177"/>
      <c r="M42" s="177"/>
      <c r="N42" s="177"/>
      <c r="O42" s="177"/>
      <c r="P42" s="177"/>
      <c r="Q42" s="21">
        <f t="shared" si="5"/>
        <v>0</v>
      </c>
      <c r="R42" s="21">
        <f t="shared" si="6"/>
        <v>0</v>
      </c>
      <c r="S42" s="32">
        <f t="shared" si="7"/>
        <v>0</v>
      </c>
      <c r="T42" s="1"/>
      <c r="U42" s="1"/>
      <c r="V42" s="1"/>
      <c r="W42" s="1"/>
      <c r="X42" s="1"/>
    </row>
    <row r="43" spans="1:24" ht="15.5" x14ac:dyDescent="0.35">
      <c r="A43" s="78"/>
      <c r="B43" s="171" t="s">
        <v>60</v>
      </c>
      <c r="C43" s="19"/>
      <c r="D43" s="19"/>
      <c r="E43" s="119">
        <v>2</v>
      </c>
      <c r="F43" s="160">
        <v>0.36499999999999999</v>
      </c>
      <c r="G43" s="161"/>
      <c r="H43" s="176"/>
      <c r="I43" s="177"/>
      <c r="J43" s="177"/>
      <c r="K43" s="177"/>
      <c r="L43" s="177"/>
      <c r="M43" s="177"/>
      <c r="N43" s="177"/>
      <c r="O43" s="177"/>
      <c r="P43" s="177"/>
      <c r="Q43" s="21">
        <f t="shared" si="5"/>
        <v>0</v>
      </c>
      <c r="R43" s="21">
        <f t="shared" si="6"/>
        <v>0</v>
      </c>
      <c r="S43" s="32">
        <f t="shared" si="7"/>
        <v>0</v>
      </c>
      <c r="T43" s="1"/>
      <c r="U43" s="1"/>
      <c r="V43" s="1"/>
      <c r="W43" s="1"/>
      <c r="X43" s="1"/>
    </row>
    <row r="44" spans="1:24" ht="15.5" x14ac:dyDescent="0.35">
      <c r="A44" s="78"/>
      <c r="B44" s="171" t="s">
        <v>60</v>
      </c>
      <c r="C44" s="19"/>
      <c r="D44" s="19"/>
      <c r="E44" s="119">
        <v>2</v>
      </c>
      <c r="F44" s="160">
        <v>0.36499999999999999</v>
      </c>
      <c r="G44" s="161"/>
      <c r="H44" s="176"/>
      <c r="I44" s="177"/>
      <c r="J44" s="177"/>
      <c r="K44" s="177"/>
      <c r="L44" s="177"/>
      <c r="M44" s="177"/>
      <c r="N44" s="177"/>
      <c r="O44" s="177"/>
      <c r="P44" s="177"/>
      <c r="Q44" s="21">
        <f t="shared" si="5"/>
        <v>0</v>
      </c>
      <c r="R44" s="21">
        <f t="shared" si="6"/>
        <v>0</v>
      </c>
      <c r="S44" s="32">
        <f t="shared" si="7"/>
        <v>0</v>
      </c>
      <c r="T44" s="1"/>
      <c r="U44" s="1"/>
      <c r="V44" s="1"/>
      <c r="W44" s="1"/>
      <c r="X44" s="1"/>
    </row>
    <row r="45" spans="1:24" ht="15.5" x14ac:dyDescent="0.35">
      <c r="A45" s="78"/>
      <c r="B45" s="171" t="s">
        <v>60</v>
      </c>
      <c r="C45" s="19"/>
      <c r="D45" s="19"/>
      <c r="E45" s="119">
        <v>2</v>
      </c>
      <c r="F45" s="160">
        <v>0.36499999999999999</v>
      </c>
      <c r="G45" s="161"/>
      <c r="H45" s="176"/>
      <c r="I45" s="177"/>
      <c r="J45" s="177"/>
      <c r="K45" s="177"/>
      <c r="L45" s="177"/>
      <c r="M45" s="177"/>
      <c r="N45" s="177"/>
      <c r="O45" s="177"/>
      <c r="P45" s="177"/>
      <c r="Q45" s="21">
        <f t="shared" si="5"/>
        <v>0</v>
      </c>
      <c r="R45" s="21">
        <f t="shared" si="6"/>
        <v>0</v>
      </c>
      <c r="S45" s="32">
        <f t="shared" si="7"/>
        <v>0</v>
      </c>
      <c r="T45" s="1"/>
      <c r="U45" s="1"/>
      <c r="V45" s="1"/>
      <c r="W45" s="1"/>
      <c r="X45" s="1"/>
    </row>
    <row r="46" spans="1:24" ht="15.5" x14ac:dyDescent="0.35">
      <c r="A46" s="78"/>
      <c r="B46" s="171" t="s">
        <v>60</v>
      </c>
      <c r="C46" s="19"/>
      <c r="D46" s="19"/>
      <c r="E46" s="119">
        <v>2</v>
      </c>
      <c r="F46" s="160">
        <v>0.36499999999999999</v>
      </c>
      <c r="G46" s="161"/>
      <c r="H46" s="176"/>
      <c r="I46" s="177"/>
      <c r="J46" s="177"/>
      <c r="K46" s="177"/>
      <c r="L46" s="177"/>
      <c r="M46" s="177"/>
      <c r="N46" s="177"/>
      <c r="O46" s="177"/>
      <c r="P46" s="177"/>
      <c r="Q46" s="21">
        <f t="shared" si="5"/>
        <v>0</v>
      </c>
      <c r="R46" s="21">
        <f t="shared" si="6"/>
        <v>0</v>
      </c>
      <c r="S46" s="32">
        <f t="shared" si="7"/>
        <v>0</v>
      </c>
      <c r="T46" s="1"/>
      <c r="U46" s="1"/>
      <c r="V46" s="1"/>
      <c r="W46" s="1"/>
      <c r="X46" s="1"/>
    </row>
    <row r="47" spans="1:24" ht="15.5" x14ac:dyDescent="0.35">
      <c r="A47" s="78"/>
      <c r="B47" s="171" t="s">
        <v>61</v>
      </c>
      <c r="C47" s="19"/>
      <c r="D47" s="19"/>
      <c r="E47" s="119">
        <v>3</v>
      </c>
      <c r="F47" s="160">
        <v>0.5</v>
      </c>
      <c r="G47" s="161">
        <v>0.5</v>
      </c>
      <c r="H47" s="176"/>
      <c r="I47" s="177"/>
      <c r="J47" s="177"/>
      <c r="K47" s="177"/>
      <c r="L47" s="177"/>
      <c r="M47" s="177"/>
      <c r="N47" s="177"/>
      <c r="O47" s="177"/>
      <c r="P47" s="177"/>
      <c r="Q47" s="21">
        <f t="shared" si="5"/>
        <v>0.5</v>
      </c>
      <c r="R47" s="21">
        <f t="shared" si="6"/>
        <v>0</v>
      </c>
      <c r="S47" s="32">
        <f t="shared" si="7"/>
        <v>0.5</v>
      </c>
      <c r="T47" s="1"/>
      <c r="U47" s="1"/>
      <c r="V47" s="1"/>
      <c r="W47" s="1"/>
      <c r="X47" s="1"/>
    </row>
    <row r="48" spans="1:24" ht="15.5" x14ac:dyDescent="0.35">
      <c r="A48" s="77"/>
      <c r="B48" s="169" t="s">
        <v>62</v>
      </c>
      <c r="C48" s="19"/>
      <c r="D48" s="19"/>
      <c r="E48" s="119">
        <v>2</v>
      </c>
      <c r="F48" s="20"/>
      <c r="G48" s="160">
        <v>0.1</v>
      </c>
      <c r="H48" s="159">
        <v>0.05</v>
      </c>
      <c r="I48" s="20"/>
      <c r="J48" s="20"/>
      <c r="K48" s="20"/>
      <c r="L48" s="66"/>
      <c r="M48" s="20"/>
      <c r="N48" s="20"/>
      <c r="O48" s="66"/>
      <c r="P48" s="20"/>
      <c r="Q48" s="21">
        <f t="shared" si="0"/>
        <v>0.15000000000000002</v>
      </c>
      <c r="R48" s="21">
        <f t="shared" si="3"/>
        <v>0</v>
      </c>
      <c r="S48" s="32">
        <f t="shared" si="4"/>
        <v>0.15000000000000002</v>
      </c>
      <c r="T48" s="1" t="s">
        <v>63</v>
      </c>
      <c r="U48" s="1"/>
      <c r="V48" s="1"/>
      <c r="W48" s="1"/>
      <c r="X48" s="1"/>
    </row>
    <row r="49" spans="1:68" ht="15.5" x14ac:dyDescent="0.35">
      <c r="A49" s="77"/>
      <c r="B49" s="175" t="s">
        <v>64</v>
      </c>
      <c r="C49" s="19"/>
      <c r="D49" s="19"/>
      <c r="E49" s="119">
        <v>1</v>
      </c>
      <c r="F49" s="20">
        <v>14</v>
      </c>
      <c r="G49" s="161">
        <v>21</v>
      </c>
      <c r="H49" s="218"/>
      <c r="I49" s="20"/>
      <c r="J49" s="66"/>
      <c r="K49" s="66"/>
      <c r="L49" s="66"/>
      <c r="M49" s="66"/>
      <c r="N49" s="66"/>
      <c r="O49" s="66"/>
      <c r="P49" s="66"/>
      <c r="Q49" s="115"/>
      <c r="R49" s="21"/>
      <c r="S49" s="32"/>
      <c r="T49" s="1"/>
      <c r="U49" s="1"/>
      <c r="V49" s="1"/>
      <c r="W49" s="1"/>
      <c r="X49" s="1"/>
    </row>
    <row r="50" spans="1:68" ht="15.5" x14ac:dyDescent="0.35">
      <c r="A50" s="77"/>
      <c r="B50" s="169" t="s">
        <v>65</v>
      </c>
      <c r="C50" s="19"/>
      <c r="D50" s="19"/>
      <c r="E50" s="119"/>
      <c r="F50" s="20"/>
      <c r="G50" s="66">
        <v>2</v>
      </c>
      <c r="H50" s="102">
        <v>4</v>
      </c>
      <c r="I50" s="20">
        <v>4</v>
      </c>
      <c r="J50" s="66">
        <v>4</v>
      </c>
      <c r="K50" s="66">
        <v>5</v>
      </c>
      <c r="L50" s="66">
        <v>5</v>
      </c>
      <c r="M50" s="66">
        <v>5</v>
      </c>
      <c r="N50" s="66">
        <v>5</v>
      </c>
      <c r="O50" s="66">
        <v>5</v>
      </c>
      <c r="P50" s="66">
        <v>5</v>
      </c>
      <c r="Q50" s="115">
        <f t="shared" si="0"/>
        <v>19</v>
      </c>
      <c r="R50" s="21">
        <f t="shared" si="3"/>
        <v>25</v>
      </c>
      <c r="S50" s="32">
        <f t="shared" si="4"/>
        <v>44</v>
      </c>
      <c r="T50" s="1"/>
      <c r="U50" s="1"/>
      <c r="V50" s="1"/>
      <c r="W50" s="1"/>
      <c r="X50" s="1"/>
    </row>
    <row r="51" spans="1:68" s="6" customFormat="1" ht="15.5" x14ac:dyDescent="0.35">
      <c r="A51" s="78"/>
      <c r="B51" s="222" t="s">
        <v>66</v>
      </c>
      <c r="C51" s="223"/>
      <c r="D51" s="96"/>
      <c r="E51" s="96"/>
      <c r="F51" s="140">
        <f t="shared" ref="F51:S51" si="8">SUM(F18:F50)</f>
        <v>59.620000000000005</v>
      </c>
      <c r="G51" s="97">
        <f t="shared" si="8"/>
        <v>26.1</v>
      </c>
      <c r="H51" s="103">
        <f t="shared" si="8"/>
        <v>4.55</v>
      </c>
      <c r="I51" s="96">
        <f t="shared" si="8"/>
        <v>15</v>
      </c>
      <c r="J51" s="97">
        <f t="shared" si="8"/>
        <v>5</v>
      </c>
      <c r="K51" s="97">
        <f t="shared" si="8"/>
        <v>5</v>
      </c>
      <c r="L51" s="103">
        <f t="shared" si="8"/>
        <v>5</v>
      </c>
      <c r="M51" s="96">
        <f t="shared" si="8"/>
        <v>15</v>
      </c>
      <c r="N51" s="97">
        <f t="shared" si="8"/>
        <v>5</v>
      </c>
      <c r="O51" s="96">
        <f t="shared" si="8"/>
        <v>5</v>
      </c>
      <c r="P51" s="96">
        <f t="shared" si="8"/>
        <v>5</v>
      </c>
      <c r="Q51" s="91">
        <f t="shared" si="8"/>
        <v>34.65</v>
      </c>
      <c r="R51" s="91">
        <f t="shared" si="8"/>
        <v>35</v>
      </c>
      <c r="S51" s="91">
        <f t="shared" si="8"/>
        <v>69.650000000000006</v>
      </c>
      <c r="T51" s="72"/>
      <c r="U51" s="1"/>
      <c r="V51" s="1"/>
      <c r="W51" s="1"/>
      <c r="X51" s="1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</row>
    <row r="52" spans="1:68" s="5" customFormat="1" ht="15.5" x14ac:dyDescent="0.35">
      <c r="A52" s="77"/>
      <c r="B52" s="33" t="s">
        <v>67</v>
      </c>
      <c r="C52" s="33"/>
      <c r="D52" s="33"/>
      <c r="E52" s="33"/>
      <c r="F52" s="130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1"/>
      <c r="U52" s="1"/>
      <c r="V52" s="1"/>
      <c r="W52" s="1"/>
      <c r="X52" s="1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</row>
    <row r="53" spans="1:68" ht="15.5" x14ac:dyDescent="0.35">
      <c r="A53" s="78"/>
      <c r="B53" s="100" t="s">
        <v>68</v>
      </c>
      <c r="C53" s="100"/>
      <c r="D53" s="101"/>
      <c r="E53" s="120"/>
      <c r="F53" s="81">
        <v>0</v>
      </c>
      <c r="G53" s="80">
        <v>0</v>
      </c>
      <c r="H53" s="80">
        <v>0</v>
      </c>
      <c r="I53" s="81">
        <v>0</v>
      </c>
      <c r="J53" s="81">
        <v>0</v>
      </c>
      <c r="K53" s="81">
        <v>0</v>
      </c>
      <c r="L53" s="80">
        <v>0</v>
      </c>
      <c r="M53" s="81">
        <v>0</v>
      </c>
      <c r="N53" s="81">
        <v>0</v>
      </c>
      <c r="O53" s="81">
        <v>0</v>
      </c>
      <c r="P53" s="81">
        <v>0</v>
      </c>
      <c r="Q53" s="21"/>
      <c r="R53" s="21"/>
      <c r="S53" s="32"/>
      <c r="T53" s="1"/>
      <c r="U53" s="1"/>
      <c r="V53" s="1"/>
      <c r="W53" s="1"/>
      <c r="X53" s="1"/>
    </row>
    <row r="54" spans="1:68" s="6" customFormat="1" ht="15.5" x14ac:dyDescent="0.35">
      <c r="A54" s="78"/>
      <c r="B54" s="12" t="s">
        <v>69</v>
      </c>
      <c r="C54" s="92"/>
      <c r="D54" s="24"/>
      <c r="E54" s="24"/>
      <c r="F54" s="141">
        <f>F51-(-F53*F51)</f>
        <v>59.620000000000005</v>
      </c>
      <c r="G54" s="116">
        <f t="shared" ref="G54:P54" si="9">G51-(-G53*G51)</f>
        <v>26.1</v>
      </c>
      <c r="H54" s="110">
        <f t="shared" si="9"/>
        <v>4.55</v>
      </c>
      <c r="I54" s="110">
        <f t="shared" si="9"/>
        <v>15</v>
      </c>
      <c r="J54" s="116">
        <f t="shared" si="9"/>
        <v>5</v>
      </c>
      <c r="K54" s="116">
        <f t="shared" si="9"/>
        <v>5</v>
      </c>
      <c r="L54" s="116">
        <f t="shared" si="9"/>
        <v>5</v>
      </c>
      <c r="M54" s="116">
        <f t="shared" si="9"/>
        <v>15</v>
      </c>
      <c r="N54" s="116">
        <f t="shared" si="9"/>
        <v>5</v>
      </c>
      <c r="O54" s="116">
        <f t="shared" si="9"/>
        <v>5</v>
      </c>
      <c r="P54" s="116">
        <f t="shared" si="9"/>
        <v>5</v>
      </c>
      <c r="Q54" s="112">
        <f>SUM(G54:K54)</f>
        <v>55.650000000000006</v>
      </c>
      <c r="R54" s="23">
        <f>SUM(L54:P54)</f>
        <v>35</v>
      </c>
      <c r="S54" s="23">
        <f>SUM(Q54+R54)</f>
        <v>90.65</v>
      </c>
      <c r="T54" s="72"/>
      <c r="U54" s="1"/>
      <c r="V54" s="1"/>
      <c r="W54" s="1"/>
      <c r="X54" s="1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</row>
    <row r="55" spans="1:68" s="6" customFormat="1" ht="19.5" customHeight="1" thickBot="1" x14ac:dyDescent="0.4">
      <c r="A55" s="77"/>
      <c r="B55" s="220" t="s">
        <v>70</v>
      </c>
      <c r="C55" s="221"/>
      <c r="D55" s="93"/>
      <c r="E55" s="93"/>
      <c r="F55" s="142">
        <f t="shared" ref="F55:P55" si="10">IF(F54,F105/F54-1,0)*-1</f>
        <v>0.16135524991613559</v>
      </c>
      <c r="G55" s="83">
        <f t="shared" si="10"/>
        <v>4.2145593869731823E-2</v>
      </c>
      <c r="H55" s="83">
        <f t="shared" si="10"/>
        <v>1</v>
      </c>
      <c r="I55" s="83">
        <f t="shared" si="10"/>
        <v>1</v>
      </c>
      <c r="J55" s="83">
        <f t="shared" si="10"/>
        <v>1</v>
      </c>
      <c r="K55" s="83">
        <f t="shared" si="10"/>
        <v>1</v>
      </c>
      <c r="L55" s="83">
        <f t="shared" si="10"/>
        <v>1</v>
      </c>
      <c r="M55" s="83">
        <f t="shared" si="10"/>
        <v>1</v>
      </c>
      <c r="N55" s="83">
        <f t="shared" si="10"/>
        <v>1</v>
      </c>
      <c r="O55" s="83">
        <f t="shared" si="10"/>
        <v>1</v>
      </c>
      <c r="P55" s="83">
        <f t="shared" si="10"/>
        <v>1</v>
      </c>
      <c r="Q55" s="84">
        <f>SUM(G55:K55)/5</f>
        <v>0.8084291187739463</v>
      </c>
      <c r="R55" s="84">
        <f>SUM(L55:P55)/5</f>
        <v>1</v>
      </c>
      <c r="S55" s="94">
        <f>SUM(G55:P55)/10</f>
        <v>0.90421455938697315</v>
      </c>
      <c r="T55" s="72"/>
      <c r="U55" s="1"/>
      <c r="V55" s="1"/>
      <c r="W55" s="1"/>
      <c r="X55" s="1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</row>
    <row r="56" spans="1:68" s="10" customFormat="1" ht="16" thickTop="1" x14ac:dyDescent="0.35">
      <c r="A56"/>
      <c r="B56" s="56"/>
      <c r="C56" s="53"/>
      <c r="D56" s="54"/>
      <c r="E56" s="121"/>
      <c r="F56" s="55"/>
      <c r="G56" s="149"/>
      <c r="H56" s="55"/>
      <c r="I56" s="55"/>
      <c r="J56" s="55"/>
      <c r="K56" s="55"/>
      <c r="L56" s="55"/>
      <c r="M56" s="55"/>
      <c r="N56" s="55"/>
      <c r="O56" s="55"/>
      <c r="P56" s="55"/>
      <c r="Q56" s="31"/>
      <c r="R56" s="31"/>
      <c r="S56" s="31"/>
      <c r="T56" s="31"/>
      <c r="U56" s="31"/>
      <c r="V56" s="31"/>
      <c r="W56" s="31"/>
      <c r="X56" s="31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1:68" s="8" customFormat="1" ht="21.75" customHeight="1" x14ac:dyDescent="0.35">
      <c r="A57" s="77"/>
      <c r="B57" s="136" t="s">
        <v>71</v>
      </c>
      <c r="C57" s="17"/>
      <c r="D57" s="17"/>
      <c r="E57" s="17"/>
      <c r="F57" s="143">
        <v>2022</v>
      </c>
      <c r="G57" s="67">
        <v>2023</v>
      </c>
      <c r="H57" s="64">
        <v>2024</v>
      </c>
      <c r="I57" s="67">
        <v>2025</v>
      </c>
      <c r="J57" s="64">
        <v>2026</v>
      </c>
      <c r="K57" s="67">
        <v>2027</v>
      </c>
      <c r="L57" s="64">
        <v>2028</v>
      </c>
      <c r="M57" s="67">
        <v>2029</v>
      </c>
      <c r="N57" s="64">
        <v>2030</v>
      </c>
      <c r="O57" s="67">
        <v>2031</v>
      </c>
      <c r="P57" s="64">
        <v>2032</v>
      </c>
      <c r="Q57" s="63" t="s">
        <v>35</v>
      </c>
      <c r="R57" s="63" t="s">
        <v>36</v>
      </c>
      <c r="S57" s="63" t="s">
        <v>37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</row>
    <row r="58" spans="1:68" ht="15.5" x14ac:dyDescent="0.35">
      <c r="A58" s="77"/>
      <c r="B58" s="18" t="s">
        <v>38</v>
      </c>
      <c r="C58" s="18"/>
      <c r="D58" s="19"/>
      <c r="E58" s="122"/>
      <c r="F58" s="20"/>
      <c r="G58" s="66"/>
      <c r="H58" s="20"/>
      <c r="I58" s="20"/>
      <c r="J58" s="20"/>
      <c r="K58" s="20"/>
      <c r="L58" s="20"/>
      <c r="M58" s="20"/>
      <c r="N58" s="20"/>
      <c r="O58" s="20"/>
      <c r="P58" s="20"/>
      <c r="Q58" s="21">
        <f>SUM(G58:K58)</f>
        <v>0</v>
      </c>
      <c r="R58" s="21">
        <f>SUM(L58:P58)</f>
        <v>0</v>
      </c>
      <c r="S58" s="21">
        <f>SUM(Q58:R58)</f>
        <v>0</v>
      </c>
      <c r="T58" s="1"/>
      <c r="U58" s="1"/>
      <c r="V58" s="1"/>
      <c r="W58" s="1"/>
      <c r="X58" s="1"/>
    </row>
    <row r="59" spans="1:68" ht="15.5" x14ac:dyDescent="0.35">
      <c r="A59" s="77"/>
      <c r="B59" s="175"/>
      <c r="C59" s="18"/>
      <c r="D59" s="19"/>
      <c r="E59" s="122"/>
      <c r="F59" s="160"/>
      <c r="G59" s="66"/>
      <c r="H59" s="160"/>
      <c r="I59" s="160"/>
      <c r="J59" s="160"/>
      <c r="K59" s="160"/>
      <c r="L59" s="160"/>
      <c r="M59" s="160"/>
      <c r="N59" s="160"/>
      <c r="O59" s="160"/>
      <c r="P59" s="20"/>
      <c r="Q59" s="21">
        <f t="shared" ref="Q59:Q60" si="11">SUM(G59:K59)</f>
        <v>0</v>
      </c>
      <c r="R59" s="21">
        <f t="shared" ref="R59:R60" si="12">SUM(L59:P59)</f>
        <v>0</v>
      </c>
      <c r="S59" s="21">
        <f t="shared" ref="S59:S64" si="13">SUM(Q59:R59)</f>
        <v>0</v>
      </c>
      <c r="T59" s="1"/>
      <c r="U59" s="1"/>
      <c r="V59" s="1"/>
      <c r="W59" s="1"/>
      <c r="X59" s="1"/>
    </row>
    <row r="60" spans="1:68" ht="15.5" x14ac:dyDescent="0.35">
      <c r="A60" s="77"/>
      <c r="B60" s="171" t="s">
        <v>72</v>
      </c>
      <c r="C60" s="18"/>
      <c r="D60" s="19"/>
      <c r="E60" s="122">
        <v>2</v>
      </c>
      <c r="F60" s="160">
        <v>2.9</v>
      </c>
      <c r="G60" s="66"/>
      <c r="H60" s="160"/>
      <c r="I60" s="160"/>
      <c r="J60" s="160"/>
      <c r="K60" s="160"/>
      <c r="L60" s="160"/>
      <c r="M60" s="160"/>
      <c r="N60" s="160"/>
      <c r="O60" s="160"/>
      <c r="P60" s="20"/>
      <c r="Q60" s="21">
        <f t="shared" si="11"/>
        <v>0</v>
      </c>
      <c r="R60" s="21">
        <f t="shared" si="12"/>
        <v>0</v>
      </c>
      <c r="S60" s="21">
        <f t="shared" si="13"/>
        <v>0</v>
      </c>
      <c r="T60" s="1"/>
      <c r="U60" s="1"/>
      <c r="V60" s="1"/>
      <c r="W60" s="1"/>
      <c r="X60" s="1"/>
    </row>
    <row r="61" spans="1:68" ht="15.5" x14ac:dyDescent="0.35">
      <c r="A61" s="77"/>
      <c r="B61" s="167" t="s">
        <v>73</v>
      </c>
      <c r="C61" s="18"/>
      <c r="D61" s="19" t="s">
        <v>74</v>
      </c>
      <c r="E61" s="122">
        <v>2</v>
      </c>
      <c r="F61" s="162"/>
      <c r="G61" s="217">
        <v>10</v>
      </c>
      <c r="H61" s="162"/>
      <c r="I61" s="163"/>
      <c r="J61" s="163" t="s">
        <v>75</v>
      </c>
      <c r="K61" s="163"/>
      <c r="L61" s="164"/>
      <c r="M61" s="164"/>
      <c r="N61" s="164"/>
      <c r="O61" s="166">
        <v>10</v>
      </c>
      <c r="P61" s="160"/>
      <c r="Q61" s="21">
        <f>SUM(G61:K61)</f>
        <v>10</v>
      </c>
      <c r="R61" s="21">
        <f>SUM(L61:P61)</f>
        <v>10</v>
      </c>
      <c r="S61" s="21">
        <f t="shared" si="13"/>
        <v>20</v>
      </c>
      <c r="T61" s="1"/>
      <c r="U61" s="1"/>
      <c r="V61" s="1"/>
      <c r="W61" s="1"/>
      <c r="X61" s="1"/>
    </row>
    <row r="62" spans="1:68" ht="15.5" x14ac:dyDescent="0.35">
      <c r="A62" s="77"/>
      <c r="B62" s="167" t="s">
        <v>76</v>
      </c>
      <c r="C62" s="18"/>
      <c r="D62" s="19" t="s">
        <v>74</v>
      </c>
      <c r="E62" s="122">
        <v>1</v>
      </c>
      <c r="F62" s="162"/>
      <c r="G62" s="217">
        <v>19</v>
      </c>
      <c r="H62" s="162"/>
      <c r="I62" s="163"/>
      <c r="J62" s="163"/>
      <c r="K62" s="163"/>
      <c r="L62" s="164"/>
      <c r="M62" s="164"/>
      <c r="N62" s="164"/>
      <c r="O62" s="166">
        <v>20</v>
      </c>
      <c r="P62" s="160"/>
      <c r="Q62" s="21">
        <f>SUM(G62:K62)</f>
        <v>19</v>
      </c>
      <c r="R62" s="21">
        <f>SUM(L62:P62)</f>
        <v>20</v>
      </c>
      <c r="S62" s="21">
        <f t="shared" ref="S62" si="14">SUM(Q62:R62)</f>
        <v>39</v>
      </c>
      <c r="T62" s="1"/>
      <c r="U62" s="1"/>
      <c r="V62" s="1"/>
      <c r="W62" s="1"/>
      <c r="X62" s="1"/>
    </row>
    <row r="63" spans="1:68" ht="15.5" x14ac:dyDescent="0.35">
      <c r="A63" s="77"/>
      <c r="B63" s="168" t="s">
        <v>77</v>
      </c>
      <c r="C63" s="18"/>
      <c r="D63" s="19" t="s">
        <v>74</v>
      </c>
      <c r="E63" s="122">
        <v>1</v>
      </c>
      <c r="F63" s="162"/>
      <c r="G63" s="217">
        <v>5</v>
      </c>
      <c r="H63" s="162"/>
      <c r="I63" s="163"/>
      <c r="J63" s="163"/>
      <c r="K63" s="163"/>
      <c r="L63" s="164"/>
      <c r="M63" s="164"/>
      <c r="N63" s="164"/>
      <c r="O63" s="164">
        <v>5.5</v>
      </c>
      <c r="P63" s="160"/>
      <c r="Q63" s="21">
        <f>SUM(G63:K63)</f>
        <v>5</v>
      </c>
      <c r="R63" s="21">
        <f>SUM(L63:P63)</f>
        <v>5.5</v>
      </c>
      <c r="S63" s="21">
        <f t="shared" si="13"/>
        <v>10.5</v>
      </c>
      <c r="T63" s="1"/>
      <c r="U63" s="1"/>
      <c r="V63" s="1"/>
      <c r="W63" s="1"/>
      <c r="X63" s="1"/>
    </row>
    <row r="64" spans="1:68" ht="15.5" x14ac:dyDescent="0.35">
      <c r="A64" s="77"/>
      <c r="B64" s="171" t="s">
        <v>78</v>
      </c>
      <c r="C64" s="18"/>
      <c r="D64" s="19"/>
      <c r="E64" s="122">
        <v>3</v>
      </c>
      <c r="F64" s="162"/>
      <c r="G64" s="165">
        <v>0.05</v>
      </c>
      <c r="H64" s="162"/>
      <c r="I64" s="163"/>
      <c r="J64" s="163"/>
      <c r="K64" s="163"/>
      <c r="L64" s="164"/>
      <c r="M64" s="164"/>
      <c r="N64" s="164"/>
      <c r="O64" s="164"/>
      <c r="P64" s="160"/>
      <c r="Q64" s="21">
        <f>SUM(G64:K64)</f>
        <v>0.05</v>
      </c>
      <c r="R64" s="21">
        <f>SUM(L64:P64)</f>
        <v>0</v>
      </c>
      <c r="S64" s="21">
        <f t="shared" si="13"/>
        <v>0.05</v>
      </c>
      <c r="T64" s="1"/>
      <c r="U64" s="1"/>
      <c r="V64" s="1"/>
      <c r="W64" s="1"/>
      <c r="X64" s="1"/>
    </row>
    <row r="65" spans="1:24" ht="15.5" x14ac:dyDescent="0.35">
      <c r="A65" s="77"/>
      <c r="B65" s="174" t="s">
        <v>79</v>
      </c>
      <c r="C65" s="18"/>
      <c r="D65" s="19" t="s">
        <v>74</v>
      </c>
      <c r="E65" s="122">
        <v>2</v>
      </c>
      <c r="F65" s="162"/>
      <c r="G65" s="162"/>
      <c r="H65" s="162"/>
      <c r="I65" s="163">
        <v>10</v>
      </c>
      <c r="J65" s="163"/>
      <c r="K65" s="163"/>
      <c r="L65" s="164"/>
      <c r="M65" s="164"/>
      <c r="N65" s="164"/>
      <c r="O65" s="164"/>
      <c r="P65" s="160"/>
      <c r="Q65" s="21">
        <f>SUM(G65:K65)</f>
        <v>10</v>
      </c>
      <c r="R65" s="21">
        <f>SUM(L65:P65)</f>
        <v>0</v>
      </c>
      <c r="S65" s="21">
        <f t="shared" ref="S65:S76" si="15">SUM(Q65:R65)</f>
        <v>10</v>
      </c>
      <c r="T65" s="1"/>
      <c r="U65" s="1"/>
      <c r="V65" s="1"/>
      <c r="W65" s="1"/>
      <c r="X65" s="1"/>
    </row>
    <row r="66" spans="1:24" ht="15.5" x14ac:dyDescent="0.35">
      <c r="A66" s="77"/>
      <c r="B66" s="168" t="s">
        <v>80</v>
      </c>
      <c r="C66" s="18"/>
      <c r="D66" s="19"/>
      <c r="E66" s="122">
        <v>1</v>
      </c>
      <c r="F66" s="165">
        <v>1.8</v>
      </c>
      <c r="G66" s="162"/>
      <c r="H66" s="162"/>
      <c r="I66" s="163"/>
      <c r="J66" s="163"/>
      <c r="K66" s="163"/>
      <c r="L66" s="164"/>
      <c r="M66" s="164"/>
      <c r="N66" s="164"/>
      <c r="O66" s="164"/>
      <c r="P66" s="160"/>
      <c r="Q66" s="21">
        <f t="shared" ref="Q66:Q67" si="16">SUM(G66:K66)</f>
        <v>0</v>
      </c>
      <c r="R66" s="21">
        <f t="shared" ref="R66:R67" si="17">SUM(L66:P66)</f>
        <v>0</v>
      </c>
      <c r="S66" s="21">
        <f t="shared" si="15"/>
        <v>0</v>
      </c>
      <c r="T66" s="1"/>
      <c r="U66" s="1"/>
      <c r="V66" s="1"/>
      <c r="W66" s="1"/>
      <c r="X66" s="1"/>
    </row>
    <row r="67" spans="1:24" ht="15.5" x14ac:dyDescent="0.35">
      <c r="A67" s="78"/>
      <c r="B67" s="168" t="s">
        <v>80</v>
      </c>
      <c r="C67" s="18"/>
      <c r="D67" s="19"/>
      <c r="E67" s="122">
        <v>3</v>
      </c>
      <c r="F67" s="162"/>
      <c r="G67" s="162"/>
      <c r="H67" s="162"/>
      <c r="I67" s="163"/>
      <c r="J67" s="163"/>
      <c r="K67" s="163"/>
      <c r="L67" s="164"/>
      <c r="M67" s="164">
        <v>2.2000000000000002</v>
      </c>
      <c r="N67" s="164"/>
      <c r="O67" s="164"/>
      <c r="P67" s="160"/>
      <c r="Q67" s="21">
        <f t="shared" si="16"/>
        <v>0</v>
      </c>
      <c r="R67" s="21">
        <f t="shared" si="17"/>
        <v>2.2000000000000002</v>
      </c>
      <c r="S67" s="21">
        <f t="shared" si="15"/>
        <v>2.2000000000000002</v>
      </c>
      <c r="T67" s="1"/>
      <c r="U67" s="1"/>
      <c r="V67" s="1"/>
      <c r="W67" s="1"/>
      <c r="X67" s="1"/>
    </row>
    <row r="68" spans="1:24" ht="15.5" x14ac:dyDescent="0.35">
      <c r="A68" s="77"/>
      <c r="B68" s="171" t="s">
        <v>81</v>
      </c>
      <c r="C68" s="18"/>
      <c r="D68" s="19"/>
      <c r="E68" s="122">
        <v>3</v>
      </c>
      <c r="F68" s="165">
        <v>0.2</v>
      </c>
      <c r="G68" s="162"/>
      <c r="H68" s="162"/>
      <c r="I68" s="163"/>
      <c r="J68" s="163"/>
      <c r="K68" s="163"/>
      <c r="L68" s="164"/>
      <c r="M68" s="164"/>
      <c r="N68" s="164"/>
      <c r="O68" s="164"/>
      <c r="P68" s="160"/>
      <c r="Q68" s="21">
        <f t="shared" ref="Q68:Q82" si="18">SUM(G68:K68)</f>
        <v>0</v>
      </c>
      <c r="R68" s="21">
        <f t="shared" ref="R68:R82" si="19">SUM(L68:P68)</f>
        <v>0</v>
      </c>
      <c r="S68" s="21">
        <f t="shared" si="15"/>
        <v>0</v>
      </c>
      <c r="T68" s="1"/>
      <c r="U68" s="1"/>
      <c r="V68" s="1"/>
      <c r="W68" s="1"/>
      <c r="X68" s="1"/>
    </row>
    <row r="69" spans="1:24" ht="15.5" x14ac:dyDescent="0.35">
      <c r="A69" s="77"/>
      <c r="B69" s="168" t="s">
        <v>82</v>
      </c>
      <c r="C69" s="18"/>
      <c r="D69" s="19"/>
      <c r="E69" s="122">
        <v>1</v>
      </c>
      <c r="F69" s="165">
        <v>2</v>
      </c>
      <c r="G69" s="162"/>
      <c r="H69" s="162"/>
      <c r="I69" s="163"/>
      <c r="J69" s="163"/>
      <c r="K69" s="163"/>
      <c r="L69" s="164"/>
      <c r="M69" s="164"/>
      <c r="N69" s="164"/>
      <c r="O69" s="164"/>
      <c r="P69" s="160"/>
      <c r="Q69" s="21">
        <f t="shared" si="18"/>
        <v>0</v>
      </c>
      <c r="R69" s="21">
        <f t="shared" si="19"/>
        <v>0</v>
      </c>
      <c r="S69" s="21">
        <f t="shared" si="15"/>
        <v>0</v>
      </c>
      <c r="T69" s="1"/>
      <c r="U69" s="1"/>
      <c r="V69" s="1"/>
      <c r="W69" s="1"/>
      <c r="X69" s="1"/>
    </row>
    <row r="70" spans="1:24" ht="15.5" x14ac:dyDescent="0.35">
      <c r="A70" s="77"/>
      <c r="B70" s="167" t="s">
        <v>83</v>
      </c>
      <c r="C70" s="18"/>
      <c r="D70" s="19"/>
      <c r="E70" s="122">
        <v>1</v>
      </c>
      <c r="F70" s="165">
        <v>1.5</v>
      </c>
      <c r="G70" s="162"/>
      <c r="H70" s="162"/>
      <c r="I70" s="163"/>
      <c r="J70" s="163"/>
      <c r="K70" s="163"/>
      <c r="L70" s="164"/>
      <c r="M70" s="164"/>
      <c r="N70" s="164"/>
      <c r="O70" s="164"/>
      <c r="P70" s="160"/>
      <c r="Q70" s="21">
        <f t="shared" si="18"/>
        <v>0</v>
      </c>
      <c r="R70" s="21">
        <f t="shared" si="19"/>
        <v>0</v>
      </c>
      <c r="S70" s="21">
        <f t="shared" si="15"/>
        <v>0</v>
      </c>
      <c r="T70" s="1"/>
      <c r="U70" s="1"/>
      <c r="V70" s="1"/>
      <c r="W70" s="1"/>
      <c r="X70" s="1"/>
    </row>
    <row r="71" spans="1:24" ht="15.5" x14ac:dyDescent="0.35">
      <c r="A71" s="77"/>
      <c r="B71" s="167" t="s">
        <v>84</v>
      </c>
      <c r="C71" s="18"/>
      <c r="D71" s="19"/>
      <c r="E71" s="122">
        <v>1</v>
      </c>
      <c r="F71" s="165">
        <v>1.5</v>
      </c>
      <c r="G71" s="162"/>
      <c r="H71" s="162"/>
      <c r="I71" s="163"/>
      <c r="J71" s="163"/>
      <c r="K71" s="163"/>
      <c r="L71" s="164"/>
      <c r="M71" s="164"/>
      <c r="N71" s="164"/>
      <c r="O71" s="164"/>
      <c r="P71" s="160"/>
      <c r="Q71" s="21">
        <f t="shared" si="18"/>
        <v>0</v>
      </c>
      <c r="R71" s="21">
        <f t="shared" si="19"/>
        <v>0</v>
      </c>
      <c r="S71" s="21">
        <f t="shared" si="15"/>
        <v>0</v>
      </c>
      <c r="T71" s="1"/>
      <c r="U71" s="1"/>
      <c r="V71" s="1"/>
      <c r="W71" s="1"/>
      <c r="X71" s="1"/>
    </row>
    <row r="72" spans="1:24" ht="15.5" x14ac:dyDescent="0.35">
      <c r="A72" s="77"/>
      <c r="B72" s="171" t="s">
        <v>85</v>
      </c>
      <c r="C72" s="18"/>
      <c r="D72" s="19"/>
      <c r="E72" s="122">
        <v>3</v>
      </c>
      <c r="F72" s="162"/>
      <c r="G72" s="162"/>
      <c r="H72" s="165">
        <v>2</v>
      </c>
      <c r="I72" s="163"/>
      <c r="J72" s="163"/>
      <c r="K72" s="163"/>
      <c r="L72" s="164"/>
      <c r="M72" s="164"/>
      <c r="N72" s="164"/>
      <c r="O72" s="164"/>
      <c r="P72" s="160"/>
      <c r="Q72" s="21">
        <f t="shared" si="18"/>
        <v>2</v>
      </c>
      <c r="R72" s="21">
        <f t="shared" si="19"/>
        <v>0</v>
      </c>
      <c r="S72" s="21">
        <f t="shared" si="15"/>
        <v>2</v>
      </c>
      <c r="T72" s="1"/>
      <c r="U72" s="1"/>
      <c r="V72" s="1"/>
      <c r="W72" s="1"/>
      <c r="X72" s="1"/>
    </row>
    <row r="73" spans="1:24" ht="15.5" x14ac:dyDescent="0.35">
      <c r="A73" s="77"/>
      <c r="B73" s="171" t="s">
        <v>86</v>
      </c>
      <c r="C73" s="18"/>
      <c r="D73" s="19"/>
      <c r="E73" s="122">
        <v>3</v>
      </c>
      <c r="F73" s="162"/>
      <c r="G73" s="162"/>
      <c r="H73" s="165">
        <v>2</v>
      </c>
      <c r="I73" s="163"/>
      <c r="J73" s="163"/>
      <c r="K73" s="163"/>
      <c r="L73" s="164"/>
      <c r="M73" s="164"/>
      <c r="N73" s="164"/>
      <c r="O73" s="164"/>
      <c r="P73" s="160"/>
      <c r="Q73" s="21">
        <f t="shared" si="18"/>
        <v>2</v>
      </c>
      <c r="R73" s="21">
        <f t="shared" si="19"/>
        <v>0</v>
      </c>
      <c r="S73" s="21">
        <f t="shared" si="15"/>
        <v>2</v>
      </c>
      <c r="T73" s="1"/>
      <c r="U73" s="1"/>
      <c r="V73" s="1"/>
      <c r="W73" s="1"/>
      <c r="X73" s="1"/>
    </row>
    <row r="74" spans="1:24" ht="15.5" x14ac:dyDescent="0.35">
      <c r="A74" s="77"/>
      <c r="B74" s="171" t="s">
        <v>87</v>
      </c>
      <c r="C74" s="18"/>
      <c r="D74" s="19"/>
      <c r="E74" s="122">
        <v>3</v>
      </c>
      <c r="F74" s="162"/>
      <c r="G74" s="162"/>
      <c r="H74" s="165">
        <v>2</v>
      </c>
      <c r="I74" s="163"/>
      <c r="J74" s="163"/>
      <c r="K74" s="163"/>
      <c r="L74" s="164"/>
      <c r="M74" s="164"/>
      <c r="N74" s="164"/>
      <c r="O74" s="164"/>
      <c r="P74" s="160"/>
      <c r="Q74" s="21">
        <f t="shared" si="18"/>
        <v>2</v>
      </c>
      <c r="R74" s="21">
        <f t="shared" si="19"/>
        <v>0</v>
      </c>
      <c r="S74" s="21">
        <f t="shared" si="15"/>
        <v>2</v>
      </c>
      <c r="T74" s="1"/>
      <c r="U74" s="1"/>
      <c r="V74" s="1"/>
      <c r="W74" s="1"/>
      <c r="X74" s="1"/>
    </row>
    <row r="75" spans="1:24" ht="15.5" x14ac:dyDescent="0.35">
      <c r="A75" s="77"/>
      <c r="B75" s="171" t="s">
        <v>88</v>
      </c>
      <c r="C75" s="18"/>
      <c r="D75" s="19"/>
      <c r="E75" s="122">
        <v>3</v>
      </c>
      <c r="F75" s="165">
        <v>0.05</v>
      </c>
      <c r="G75" s="162"/>
      <c r="H75" s="162"/>
      <c r="I75" s="163"/>
      <c r="J75" s="163"/>
      <c r="K75" s="163"/>
      <c r="L75" s="164"/>
      <c r="M75" s="164"/>
      <c r="N75" s="164"/>
      <c r="O75" s="164"/>
      <c r="P75" s="160"/>
      <c r="Q75" s="21">
        <f t="shared" si="18"/>
        <v>0</v>
      </c>
      <c r="R75" s="21">
        <f t="shared" si="19"/>
        <v>0</v>
      </c>
      <c r="S75" s="21">
        <f t="shared" si="15"/>
        <v>0</v>
      </c>
      <c r="T75" s="1"/>
      <c r="U75" s="1"/>
      <c r="V75" s="1"/>
      <c r="W75" s="1"/>
      <c r="X75" s="1"/>
    </row>
    <row r="76" spans="1:24" ht="15.5" x14ac:dyDescent="0.35">
      <c r="A76" s="77"/>
      <c r="B76" s="171" t="s">
        <v>89</v>
      </c>
      <c r="C76" s="18"/>
      <c r="D76" s="19"/>
      <c r="E76" s="122">
        <v>3</v>
      </c>
      <c r="F76" s="162"/>
      <c r="G76" s="162"/>
      <c r="H76" s="165">
        <v>1.5</v>
      </c>
      <c r="I76" s="163"/>
      <c r="J76" s="163"/>
      <c r="K76" s="163"/>
      <c r="L76" s="164"/>
      <c r="M76" s="164"/>
      <c r="N76" s="164"/>
      <c r="O76" s="164"/>
      <c r="P76" s="160"/>
      <c r="Q76" s="21">
        <f t="shared" si="18"/>
        <v>1.5</v>
      </c>
      <c r="R76" s="21">
        <f t="shared" si="19"/>
        <v>0</v>
      </c>
      <c r="S76" s="21">
        <f t="shared" si="15"/>
        <v>1.5</v>
      </c>
      <c r="T76" s="1"/>
      <c r="U76" s="1"/>
      <c r="V76" s="1"/>
      <c r="W76" s="1"/>
      <c r="X76" s="1"/>
    </row>
    <row r="77" spans="1:24" ht="15.5" x14ac:dyDescent="0.35">
      <c r="A77" s="77"/>
      <c r="B77" s="171" t="s">
        <v>90</v>
      </c>
      <c r="C77" s="18"/>
      <c r="D77" s="19"/>
      <c r="E77" s="122">
        <v>3</v>
      </c>
      <c r="F77" s="162"/>
      <c r="G77" s="162"/>
      <c r="H77" s="165">
        <v>1.5</v>
      </c>
      <c r="I77" s="163"/>
      <c r="J77" s="163"/>
      <c r="K77" s="163"/>
      <c r="L77" s="164"/>
      <c r="M77" s="164"/>
      <c r="N77" s="164"/>
      <c r="O77" s="164"/>
      <c r="P77" s="160"/>
      <c r="Q77" s="21">
        <f t="shared" si="18"/>
        <v>1.5</v>
      </c>
      <c r="R77" s="21">
        <f t="shared" si="19"/>
        <v>0</v>
      </c>
      <c r="S77" s="21">
        <f t="shared" ref="S77:S90" si="20">SUM(Q77:R77)</f>
        <v>1.5</v>
      </c>
      <c r="T77" s="1"/>
      <c r="U77" s="1"/>
      <c r="V77" s="1"/>
      <c r="W77" s="1"/>
      <c r="X77" s="1"/>
    </row>
    <row r="78" spans="1:24" ht="15.5" x14ac:dyDescent="0.35">
      <c r="A78" s="77"/>
      <c r="B78" s="173" t="s">
        <v>91</v>
      </c>
      <c r="C78" s="18"/>
      <c r="D78" s="19"/>
      <c r="E78" s="122">
        <v>3</v>
      </c>
      <c r="F78" s="165">
        <v>1.2</v>
      </c>
      <c r="G78" s="162"/>
      <c r="H78" s="162"/>
      <c r="I78" s="163"/>
      <c r="J78" s="163"/>
      <c r="K78" s="163"/>
      <c r="L78" s="164"/>
      <c r="M78" s="164"/>
      <c r="N78" s="164"/>
      <c r="O78" s="164"/>
      <c r="P78" s="160"/>
      <c r="Q78" s="21">
        <f t="shared" si="18"/>
        <v>0</v>
      </c>
      <c r="R78" s="21">
        <f t="shared" si="19"/>
        <v>0</v>
      </c>
      <c r="S78" s="21">
        <f t="shared" ref="S78:S84" si="21">SUM(Q78:R78)</f>
        <v>0</v>
      </c>
      <c r="T78" s="1"/>
      <c r="U78" s="1"/>
      <c r="V78" s="1"/>
      <c r="W78" s="1"/>
      <c r="X78" s="1"/>
    </row>
    <row r="79" spans="1:24" ht="15.5" x14ac:dyDescent="0.35">
      <c r="A79" s="77"/>
      <c r="B79" s="171" t="s">
        <v>92</v>
      </c>
      <c r="C79" s="18"/>
      <c r="D79" s="19"/>
      <c r="E79" s="122">
        <v>3</v>
      </c>
      <c r="F79" s="165">
        <v>0.65</v>
      </c>
      <c r="G79" s="162"/>
      <c r="H79" s="162"/>
      <c r="I79" s="163"/>
      <c r="J79" s="163"/>
      <c r="K79" s="163"/>
      <c r="L79" s="164"/>
      <c r="M79" s="164"/>
      <c r="N79" s="164"/>
      <c r="O79" s="164"/>
      <c r="P79" s="160"/>
      <c r="Q79" s="21">
        <f t="shared" si="18"/>
        <v>0</v>
      </c>
      <c r="R79" s="21">
        <f t="shared" si="19"/>
        <v>0</v>
      </c>
      <c r="S79" s="21">
        <f t="shared" si="21"/>
        <v>0</v>
      </c>
      <c r="T79" s="1"/>
      <c r="U79" s="1"/>
      <c r="V79" s="1"/>
      <c r="W79" s="1"/>
      <c r="X79" s="1"/>
    </row>
    <row r="80" spans="1:24" ht="15.5" x14ac:dyDescent="0.35">
      <c r="A80" s="77"/>
      <c r="B80" s="171" t="s">
        <v>92</v>
      </c>
      <c r="C80" s="18"/>
      <c r="D80" s="19"/>
      <c r="E80" s="122">
        <v>3</v>
      </c>
      <c r="F80" s="165">
        <v>0.65</v>
      </c>
      <c r="G80" s="162"/>
      <c r="H80" s="162"/>
      <c r="I80" s="163"/>
      <c r="J80" s="163"/>
      <c r="K80" s="163"/>
      <c r="L80" s="164"/>
      <c r="M80" s="164"/>
      <c r="N80" s="164"/>
      <c r="O80" s="164"/>
      <c r="P80" s="160"/>
      <c r="Q80" s="21">
        <f t="shared" si="18"/>
        <v>0</v>
      </c>
      <c r="R80" s="21">
        <f t="shared" si="19"/>
        <v>0</v>
      </c>
      <c r="S80" s="21">
        <f t="shared" si="21"/>
        <v>0</v>
      </c>
      <c r="T80" s="1"/>
      <c r="U80" s="1"/>
      <c r="V80" s="1"/>
      <c r="W80" s="1"/>
      <c r="X80" s="1"/>
    </row>
    <row r="81" spans="1:68" ht="15.5" x14ac:dyDescent="0.35">
      <c r="A81" s="77"/>
      <c r="B81" s="171" t="s">
        <v>93</v>
      </c>
      <c r="C81" s="18"/>
      <c r="D81" s="19"/>
      <c r="E81" s="122">
        <v>3</v>
      </c>
      <c r="F81" s="165">
        <v>0.35</v>
      </c>
      <c r="G81" s="162"/>
      <c r="H81" s="165">
        <v>0.35</v>
      </c>
      <c r="I81" s="163"/>
      <c r="J81" s="163"/>
      <c r="K81" s="163"/>
      <c r="L81" s="164"/>
      <c r="M81" s="164"/>
      <c r="N81" s="164"/>
      <c r="O81" s="164"/>
      <c r="P81" s="160"/>
      <c r="Q81" s="21">
        <f t="shared" si="18"/>
        <v>0.35</v>
      </c>
      <c r="R81" s="21">
        <f t="shared" si="19"/>
        <v>0</v>
      </c>
      <c r="S81" s="21">
        <f t="shared" si="21"/>
        <v>0.35</v>
      </c>
      <c r="T81" s="1"/>
      <c r="U81" s="1"/>
      <c r="V81" s="1"/>
      <c r="W81" s="1"/>
      <c r="X81" s="1"/>
    </row>
    <row r="82" spans="1:68" ht="15.5" x14ac:dyDescent="0.35">
      <c r="A82" s="77"/>
      <c r="B82" s="171" t="s">
        <v>94</v>
      </c>
      <c r="C82" s="18"/>
      <c r="D82" s="19"/>
      <c r="E82" s="122">
        <v>3</v>
      </c>
      <c r="F82" s="165">
        <v>0.35</v>
      </c>
      <c r="G82" s="162"/>
      <c r="H82" s="165">
        <v>0.15</v>
      </c>
      <c r="I82" s="163"/>
      <c r="J82" s="163"/>
      <c r="K82" s="163"/>
      <c r="L82" s="164"/>
      <c r="M82" s="164"/>
      <c r="N82" s="164"/>
      <c r="O82" s="164"/>
      <c r="P82" s="160"/>
      <c r="Q82" s="21">
        <f t="shared" si="18"/>
        <v>0.15</v>
      </c>
      <c r="R82" s="21">
        <f t="shared" si="19"/>
        <v>0</v>
      </c>
      <c r="S82" s="21">
        <f t="shared" si="21"/>
        <v>0.15</v>
      </c>
      <c r="T82" s="1"/>
      <c r="U82" s="1"/>
      <c r="V82" s="1"/>
      <c r="W82" s="1"/>
      <c r="X82" s="1"/>
    </row>
    <row r="83" spans="1:68" ht="15.5" x14ac:dyDescent="0.35">
      <c r="A83" s="77"/>
      <c r="B83" s="171" t="s">
        <v>95</v>
      </c>
      <c r="C83" s="18"/>
      <c r="D83" s="19"/>
      <c r="E83" s="122">
        <v>3</v>
      </c>
      <c r="F83" s="165">
        <v>0.1</v>
      </c>
      <c r="G83" s="162">
        <v>0.1</v>
      </c>
      <c r="H83" s="165">
        <v>0.1</v>
      </c>
      <c r="I83" s="163"/>
      <c r="J83" s="163"/>
      <c r="K83" s="163"/>
      <c r="L83" s="164"/>
      <c r="M83" s="164"/>
      <c r="N83" s="164"/>
      <c r="O83" s="164"/>
      <c r="P83" s="160"/>
      <c r="Q83" s="21">
        <f t="shared" ref="Q83:Q84" si="22">SUM(G83:K83)</f>
        <v>0.2</v>
      </c>
      <c r="R83" s="21">
        <f t="shared" ref="R83:R84" si="23">SUM(L83:P83)</f>
        <v>0</v>
      </c>
      <c r="S83" s="21">
        <f t="shared" si="21"/>
        <v>0.2</v>
      </c>
      <c r="T83" s="1"/>
      <c r="U83" s="1"/>
      <c r="V83" s="1"/>
      <c r="W83" s="1"/>
      <c r="X83" s="1"/>
    </row>
    <row r="84" spans="1:68" ht="15.5" x14ac:dyDescent="0.35">
      <c r="A84" s="78"/>
      <c r="B84" s="174" t="s">
        <v>96</v>
      </c>
      <c r="C84" s="18"/>
      <c r="D84" s="19" t="s">
        <v>74</v>
      </c>
      <c r="E84" s="122">
        <v>2</v>
      </c>
      <c r="F84" s="162"/>
      <c r="G84" s="162"/>
      <c r="H84" s="162"/>
      <c r="I84" s="163"/>
      <c r="J84" s="163">
        <v>8.5</v>
      </c>
      <c r="K84" s="163"/>
      <c r="L84" s="164"/>
      <c r="M84" s="164"/>
      <c r="N84" s="164"/>
      <c r="O84" s="164"/>
      <c r="P84" s="160"/>
      <c r="Q84" s="21">
        <f t="shared" si="22"/>
        <v>8.5</v>
      </c>
      <c r="R84" s="21">
        <f t="shared" si="23"/>
        <v>0</v>
      </c>
      <c r="S84" s="21">
        <f t="shared" si="21"/>
        <v>8.5</v>
      </c>
      <c r="T84" s="1"/>
      <c r="U84" s="1"/>
      <c r="V84" s="1"/>
      <c r="W84" s="1"/>
      <c r="X84" s="1"/>
    </row>
    <row r="85" spans="1:68" ht="15.5" x14ac:dyDescent="0.35">
      <c r="A85" s="77"/>
      <c r="B85" s="174" t="s">
        <v>97</v>
      </c>
      <c r="C85" s="18"/>
      <c r="D85" s="19"/>
      <c r="E85" s="122">
        <v>2</v>
      </c>
      <c r="F85" s="162"/>
      <c r="G85" s="162"/>
      <c r="H85" s="162"/>
      <c r="I85" s="163">
        <v>0.8</v>
      </c>
      <c r="J85" s="163"/>
      <c r="K85" s="163"/>
      <c r="L85" s="164"/>
      <c r="M85" s="164"/>
      <c r="N85" s="164">
        <v>0.9</v>
      </c>
      <c r="O85" s="164"/>
      <c r="P85" s="160"/>
      <c r="Q85" s="21">
        <f t="shared" ref="Q85:Q86" si="24">SUM(G85:K85)</f>
        <v>0.8</v>
      </c>
      <c r="R85" s="21">
        <f t="shared" ref="R85:R86" si="25">SUM(L85:P85)</f>
        <v>0.9</v>
      </c>
      <c r="S85" s="21">
        <f t="shared" si="20"/>
        <v>1.7000000000000002</v>
      </c>
      <c r="T85" s="1"/>
      <c r="U85" s="1"/>
      <c r="V85" s="1"/>
      <c r="W85" s="1"/>
      <c r="X85" s="1"/>
    </row>
    <row r="86" spans="1:68" ht="15.5" x14ac:dyDescent="0.35">
      <c r="A86" s="78"/>
      <c r="B86" s="171" t="s">
        <v>98</v>
      </c>
      <c r="C86" s="18"/>
      <c r="D86" s="19"/>
      <c r="E86" s="122">
        <v>2</v>
      </c>
      <c r="F86" s="165">
        <v>0.12</v>
      </c>
      <c r="G86" s="162"/>
      <c r="H86" s="162"/>
      <c r="I86" s="163"/>
      <c r="J86" s="163"/>
      <c r="K86" s="163"/>
      <c r="L86" s="164"/>
      <c r="M86" s="164"/>
      <c r="N86" s="164"/>
      <c r="O86" s="164"/>
      <c r="P86" s="160"/>
      <c r="Q86" s="21">
        <f t="shared" si="24"/>
        <v>0</v>
      </c>
      <c r="R86" s="21">
        <f t="shared" si="25"/>
        <v>0</v>
      </c>
      <c r="S86" s="21">
        <f t="shared" si="20"/>
        <v>0</v>
      </c>
      <c r="T86" s="1"/>
      <c r="U86" s="1"/>
      <c r="V86" s="1"/>
      <c r="W86" s="1"/>
      <c r="X86" s="1"/>
    </row>
    <row r="87" spans="1:68" ht="15.5" x14ac:dyDescent="0.35">
      <c r="A87" s="77"/>
      <c r="B87" s="171" t="s">
        <v>99</v>
      </c>
      <c r="C87" s="18"/>
      <c r="D87" s="19" t="s">
        <v>74</v>
      </c>
      <c r="E87" s="122">
        <v>1</v>
      </c>
      <c r="F87" s="165">
        <v>8</v>
      </c>
      <c r="G87" s="162"/>
      <c r="H87" s="162"/>
      <c r="I87" s="163"/>
      <c r="J87" s="163"/>
      <c r="K87" s="163"/>
      <c r="L87" s="164"/>
      <c r="M87" s="164"/>
      <c r="N87" s="164">
        <v>8.5</v>
      </c>
      <c r="O87" s="164"/>
      <c r="P87" s="160"/>
      <c r="Q87" s="21">
        <f>SUM(G87:K87)</f>
        <v>0</v>
      </c>
      <c r="R87" s="21">
        <f>SUM(L87:P87)</f>
        <v>8.5</v>
      </c>
      <c r="S87" s="21">
        <f t="shared" si="20"/>
        <v>8.5</v>
      </c>
      <c r="T87" s="1"/>
      <c r="U87" s="1"/>
      <c r="V87" s="1"/>
      <c r="W87" s="1"/>
      <c r="X87" s="1"/>
    </row>
    <row r="88" spans="1:68" ht="15.5" x14ac:dyDescent="0.35">
      <c r="A88" s="77"/>
      <c r="B88" s="171" t="s">
        <v>100</v>
      </c>
      <c r="C88" s="18"/>
      <c r="D88" s="19" t="s">
        <v>74</v>
      </c>
      <c r="E88" s="122">
        <v>3</v>
      </c>
      <c r="F88" s="162"/>
      <c r="G88" s="165">
        <v>8.5</v>
      </c>
      <c r="H88" s="162"/>
      <c r="I88" s="163"/>
      <c r="J88" s="163"/>
      <c r="K88" s="163"/>
      <c r="L88" s="164"/>
      <c r="M88" s="164"/>
      <c r="N88" s="164"/>
      <c r="O88" s="166">
        <v>9</v>
      </c>
      <c r="P88" s="160"/>
      <c r="Q88" s="21">
        <f>SUM(G88:K88)</f>
        <v>8.5</v>
      </c>
      <c r="R88" s="21">
        <f>SUM(L88:P88)</f>
        <v>9</v>
      </c>
      <c r="S88" s="21">
        <f t="shared" si="20"/>
        <v>17.5</v>
      </c>
      <c r="T88" s="1"/>
      <c r="U88" s="1"/>
      <c r="V88" s="1"/>
      <c r="W88" s="1"/>
      <c r="X88" s="1"/>
    </row>
    <row r="89" spans="1:68" ht="15.5" x14ac:dyDescent="0.35">
      <c r="A89" s="77"/>
      <c r="B89" s="171" t="s">
        <v>101</v>
      </c>
      <c r="C89" s="18"/>
      <c r="D89" s="19" t="s">
        <v>74</v>
      </c>
      <c r="E89" s="122">
        <v>3</v>
      </c>
      <c r="F89" s="162"/>
      <c r="G89" s="162"/>
      <c r="H89" s="165">
        <v>8.5</v>
      </c>
      <c r="I89" s="163"/>
      <c r="J89" s="163"/>
      <c r="K89" s="163"/>
      <c r="L89" s="164"/>
      <c r="M89" s="164"/>
      <c r="N89" s="164"/>
      <c r="O89" s="164"/>
      <c r="P89" s="160"/>
      <c r="Q89" s="21">
        <f>SUM(G89:K89)</f>
        <v>8.5</v>
      </c>
      <c r="R89" s="21">
        <f>SUM(L89:P89)</f>
        <v>0</v>
      </c>
      <c r="S89" s="21">
        <f t="shared" si="20"/>
        <v>8.5</v>
      </c>
      <c r="T89" s="1"/>
      <c r="U89" s="1"/>
      <c r="V89" s="1"/>
      <c r="W89" s="1"/>
      <c r="X89" s="1"/>
    </row>
    <row r="90" spans="1:68" ht="15.5" x14ac:dyDescent="0.35">
      <c r="A90" s="77"/>
      <c r="B90" s="171" t="s">
        <v>102</v>
      </c>
      <c r="C90" s="18"/>
      <c r="D90" s="19"/>
      <c r="E90" s="122">
        <v>3</v>
      </c>
      <c r="F90" s="165">
        <v>2.5</v>
      </c>
      <c r="G90" s="162"/>
      <c r="H90" s="162"/>
      <c r="I90" s="163"/>
      <c r="J90" s="163"/>
      <c r="K90" s="163">
        <v>3</v>
      </c>
      <c r="L90" s="164"/>
      <c r="M90" s="164"/>
      <c r="N90" s="164"/>
      <c r="O90" s="164"/>
      <c r="P90" s="160"/>
      <c r="Q90" s="21">
        <f>SUM(G90:K90)</f>
        <v>3</v>
      </c>
      <c r="R90" s="21">
        <f>SUM(L90:P90)</f>
        <v>0</v>
      </c>
      <c r="S90" s="21">
        <f t="shared" si="20"/>
        <v>3</v>
      </c>
      <c r="T90" s="1"/>
      <c r="U90" s="1"/>
      <c r="V90" s="1"/>
      <c r="W90" s="1"/>
      <c r="X90" s="1"/>
    </row>
    <row r="91" spans="1:68" ht="15.5" x14ac:dyDescent="0.35">
      <c r="A91" s="77"/>
      <c r="B91" s="174" t="s">
        <v>103</v>
      </c>
      <c r="C91" s="18"/>
      <c r="D91" s="19"/>
      <c r="E91" s="122">
        <v>3</v>
      </c>
      <c r="F91" s="162"/>
      <c r="G91" s="162"/>
      <c r="H91" s="162"/>
      <c r="I91" s="163"/>
      <c r="J91" s="163"/>
      <c r="K91" s="163"/>
      <c r="L91" s="164"/>
      <c r="M91" s="164"/>
      <c r="N91" s="164">
        <v>1.5</v>
      </c>
      <c r="O91" s="164"/>
      <c r="P91" s="160"/>
      <c r="Q91" s="21">
        <f>SUM(G91:K91)</f>
        <v>0</v>
      </c>
      <c r="R91" s="21">
        <f>SUM(L91:P91)</f>
        <v>1.5</v>
      </c>
      <c r="S91" s="21">
        <f t="shared" ref="S91:S93" si="26">SUM(Q91:R91)</f>
        <v>1.5</v>
      </c>
      <c r="T91" s="1"/>
      <c r="U91" s="1"/>
      <c r="V91" s="1"/>
      <c r="W91" s="1"/>
      <c r="X91" s="1"/>
    </row>
    <row r="92" spans="1:68" ht="15.5" x14ac:dyDescent="0.35">
      <c r="A92" s="77"/>
      <c r="B92" s="171" t="s">
        <v>104</v>
      </c>
      <c r="C92" s="18"/>
      <c r="D92" s="19"/>
      <c r="E92" s="122">
        <v>3</v>
      </c>
      <c r="F92" s="165">
        <v>0.1</v>
      </c>
      <c r="G92" s="162"/>
      <c r="H92" s="162"/>
      <c r="I92" s="163"/>
      <c r="J92" s="163"/>
      <c r="K92" s="163"/>
      <c r="L92" s="164"/>
      <c r="M92" s="164"/>
      <c r="N92" s="164"/>
      <c r="O92" s="164"/>
      <c r="P92" s="160"/>
      <c r="Q92" s="21">
        <f t="shared" ref="Q92:Q93" si="27">SUM(G92:K92)</f>
        <v>0</v>
      </c>
      <c r="R92" s="21">
        <f t="shared" ref="R92:R93" si="28">SUM(L92:P92)</f>
        <v>0</v>
      </c>
      <c r="S92" s="21">
        <f t="shared" si="26"/>
        <v>0</v>
      </c>
      <c r="T92" s="1"/>
      <c r="U92" s="1"/>
      <c r="V92" s="1"/>
      <c r="W92" s="1"/>
      <c r="X92" s="1"/>
    </row>
    <row r="93" spans="1:68" ht="15.5" x14ac:dyDescent="0.35">
      <c r="A93" s="78"/>
      <c r="B93" s="18"/>
      <c r="C93" s="18"/>
      <c r="D93" s="19"/>
      <c r="E93" s="122"/>
      <c r="F93" s="160"/>
      <c r="G93" s="161"/>
      <c r="H93" s="160"/>
      <c r="I93" s="160"/>
      <c r="J93" s="160"/>
      <c r="K93" s="160"/>
      <c r="L93" s="160"/>
      <c r="M93" s="160"/>
      <c r="N93" s="160"/>
      <c r="O93" s="160"/>
      <c r="P93" s="20"/>
      <c r="Q93" s="21">
        <f t="shared" si="27"/>
        <v>0</v>
      </c>
      <c r="R93" s="21">
        <f t="shared" si="28"/>
        <v>0</v>
      </c>
      <c r="S93" s="21">
        <f t="shared" si="26"/>
        <v>0</v>
      </c>
      <c r="T93" s="1"/>
      <c r="U93" s="1"/>
      <c r="V93" s="1"/>
      <c r="W93" s="1"/>
      <c r="X93" s="1"/>
    </row>
    <row r="94" spans="1:68" ht="15.5" x14ac:dyDescent="0.35">
      <c r="A94" s="77"/>
      <c r="B94" s="169" t="s">
        <v>65</v>
      </c>
      <c r="C94" s="22"/>
      <c r="D94" s="19"/>
      <c r="E94" s="122"/>
      <c r="F94" s="20"/>
      <c r="G94" s="66"/>
      <c r="H94" s="20">
        <v>2</v>
      </c>
      <c r="I94" s="20">
        <v>9</v>
      </c>
      <c r="J94" s="20">
        <v>11</v>
      </c>
      <c r="K94" s="20">
        <v>17</v>
      </c>
      <c r="L94" s="20">
        <v>20</v>
      </c>
      <c r="M94" s="20">
        <v>18</v>
      </c>
      <c r="N94" s="20">
        <v>25</v>
      </c>
      <c r="O94" s="20">
        <v>20</v>
      </c>
      <c r="P94" s="20">
        <v>20</v>
      </c>
      <c r="Q94" s="21">
        <f>SUM(G94:P94)</f>
        <v>142</v>
      </c>
      <c r="R94" s="21">
        <f>SUM(L94:P94)</f>
        <v>103</v>
      </c>
      <c r="S94" s="21">
        <f>SUM(Q94:R94)</f>
        <v>245</v>
      </c>
      <c r="T94" s="1"/>
      <c r="U94" s="1"/>
      <c r="V94" s="1"/>
      <c r="W94" s="1"/>
      <c r="X94" s="1"/>
    </row>
    <row r="95" spans="1:68" s="6" customFormat="1" ht="15.5" x14ac:dyDescent="0.35">
      <c r="A95" s="77"/>
      <c r="B95" s="95" t="s">
        <v>105</v>
      </c>
      <c r="C95" s="95"/>
      <c r="D95" s="96"/>
      <c r="E95" s="96"/>
      <c r="F95" s="140">
        <f t="shared" ref="F95:P95" si="29">SUM(F58:F94)</f>
        <v>23.97</v>
      </c>
      <c r="G95" s="97">
        <f t="shared" si="29"/>
        <v>42.65</v>
      </c>
      <c r="H95" s="96">
        <f t="shared" si="29"/>
        <v>20.100000000000001</v>
      </c>
      <c r="I95" s="96">
        <f t="shared" si="29"/>
        <v>19.8</v>
      </c>
      <c r="J95" s="96">
        <f t="shared" si="29"/>
        <v>19.5</v>
      </c>
      <c r="K95" s="96">
        <f t="shared" si="29"/>
        <v>20</v>
      </c>
      <c r="L95" s="96">
        <f t="shared" si="29"/>
        <v>20</v>
      </c>
      <c r="M95" s="96">
        <f t="shared" si="29"/>
        <v>20.2</v>
      </c>
      <c r="N95" s="96">
        <f t="shared" si="29"/>
        <v>35.9</v>
      </c>
      <c r="O95" s="96">
        <f t="shared" si="29"/>
        <v>64.5</v>
      </c>
      <c r="P95" s="96">
        <f t="shared" si="29"/>
        <v>20</v>
      </c>
      <c r="Q95" s="91">
        <f>SUM(G95:K95)</f>
        <v>122.05</v>
      </c>
      <c r="R95" s="91">
        <f>SUM(L95:P95)</f>
        <v>160.6</v>
      </c>
      <c r="S95" s="91">
        <f>SUM(Q95+R95)</f>
        <v>282.64999999999998</v>
      </c>
      <c r="T95" s="1"/>
      <c r="U95" s="1"/>
      <c r="V95" s="1"/>
      <c r="W95" s="1"/>
      <c r="X95" s="1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</row>
    <row r="96" spans="1:68" s="5" customFormat="1" ht="15.5" x14ac:dyDescent="0.35">
      <c r="A96" s="77"/>
      <c r="B96" s="33" t="s">
        <v>67</v>
      </c>
      <c r="C96" s="33"/>
      <c r="D96" s="33"/>
      <c r="E96" s="33"/>
      <c r="F96" s="131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1"/>
      <c r="U96" s="1"/>
      <c r="V96" s="1"/>
      <c r="W96" s="1"/>
      <c r="X96" s="1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</row>
    <row r="97" spans="1:291" ht="15.5" x14ac:dyDescent="0.35">
      <c r="A97" s="78"/>
      <c r="B97" s="100" t="s">
        <v>68</v>
      </c>
      <c r="C97" s="74"/>
      <c r="D97" s="75"/>
      <c r="E97" s="129"/>
      <c r="F97" s="81">
        <v>0</v>
      </c>
      <c r="G97" s="80">
        <v>0</v>
      </c>
      <c r="H97" s="81">
        <v>0</v>
      </c>
      <c r="I97" s="81">
        <v>0</v>
      </c>
      <c r="J97" s="80">
        <v>0</v>
      </c>
      <c r="K97" s="81">
        <v>0</v>
      </c>
      <c r="L97" s="81">
        <v>0</v>
      </c>
      <c r="M97" s="81">
        <v>0</v>
      </c>
      <c r="N97" s="81">
        <v>0</v>
      </c>
      <c r="O97" s="81">
        <v>0</v>
      </c>
      <c r="P97" s="81">
        <v>0</v>
      </c>
      <c r="Q97" s="21"/>
      <c r="R97" s="21"/>
      <c r="S97" s="32"/>
      <c r="T97" s="1"/>
      <c r="U97" s="1"/>
      <c r="V97" s="1"/>
      <c r="W97" s="1"/>
      <c r="X97" s="1"/>
    </row>
    <row r="98" spans="1:291" s="6" customFormat="1" ht="15.5" x14ac:dyDescent="0.35">
      <c r="A98" s="78"/>
      <c r="B98" s="12" t="s">
        <v>106</v>
      </c>
      <c r="C98" s="92"/>
      <c r="D98" s="24"/>
      <c r="E98" s="24"/>
      <c r="F98" s="141">
        <f>F95-(-F97*F95)</f>
        <v>23.97</v>
      </c>
      <c r="G98" s="116">
        <f t="shared" ref="G98" si="30">G95-(-G97*G95)</f>
        <v>42.65</v>
      </c>
      <c r="H98" s="110">
        <f t="shared" ref="H98" si="31">H95-(-H97*H95)</f>
        <v>20.100000000000001</v>
      </c>
      <c r="I98" s="110">
        <f t="shared" ref="I98" si="32">I95-(-I97*I95)</f>
        <v>19.8</v>
      </c>
      <c r="J98" s="116">
        <f t="shared" ref="J98" si="33">J95-(-J97*J95)</f>
        <v>19.5</v>
      </c>
      <c r="K98" s="110">
        <f t="shared" ref="K98" si="34">K95-(-K97*K95)</f>
        <v>20</v>
      </c>
      <c r="L98" s="110">
        <f t="shared" ref="L98" si="35">L95-(-L97*L95)</f>
        <v>20</v>
      </c>
      <c r="M98" s="116">
        <f t="shared" ref="M98" si="36">M95-(-M97*M95)</f>
        <v>20.2</v>
      </c>
      <c r="N98" s="116">
        <f t="shared" ref="N98" si="37">N95-(-N97*N95)</f>
        <v>35.9</v>
      </c>
      <c r="O98" s="110">
        <f t="shared" ref="O98" si="38">O95-(-O97*O95)</f>
        <v>64.5</v>
      </c>
      <c r="P98" s="111">
        <f t="shared" ref="P98" si="39">P95-(-P97*P95)</f>
        <v>20</v>
      </c>
      <c r="Q98" s="23">
        <f>SUM(G98:K98)</f>
        <v>122.05</v>
      </c>
      <c r="R98" s="112">
        <f>SUM(L98:P98)</f>
        <v>160.6</v>
      </c>
      <c r="S98" s="23">
        <f>SUM(Q98+R98)</f>
        <v>282.64999999999998</v>
      </c>
      <c r="T98" s="72"/>
      <c r="U98" s="1"/>
      <c r="V98" s="1"/>
      <c r="W98" s="1"/>
      <c r="X98" s="1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</row>
    <row r="99" spans="1:291" x14ac:dyDescent="0.35">
      <c r="F99" s="118"/>
      <c r="G99" s="118"/>
      <c r="J99" s="5"/>
      <c r="K99" s="118"/>
      <c r="L99" s="118"/>
      <c r="Q99" s="113"/>
    </row>
    <row r="100" spans="1:291" s="11" customFormat="1" ht="21.65" customHeight="1" thickBot="1" x14ac:dyDescent="0.4">
      <c r="A100" s="78"/>
      <c r="B100" s="138" t="s">
        <v>107</v>
      </c>
      <c r="C100" s="95"/>
      <c r="D100" s="98"/>
      <c r="E100" s="123"/>
      <c r="F100" s="144">
        <f>F54+F98</f>
        <v>83.59</v>
      </c>
      <c r="G100" s="132">
        <f t="shared" ref="G100:P100" si="40">G54+G98</f>
        <v>68.75</v>
      </c>
      <c r="H100" s="132">
        <f t="shared" si="40"/>
        <v>24.650000000000002</v>
      </c>
      <c r="I100" s="150">
        <f t="shared" si="40"/>
        <v>34.799999999999997</v>
      </c>
      <c r="J100" s="132">
        <f t="shared" si="40"/>
        <v>24.5</v>
      </c>
      <c r="K100" s="132">
        <f t="shared" si="40"/>
        <v>25</v>
      </c>
      <c r="L100" s="132">
        <f t="shared" si="40"/>
        <v>25</v>
      </c>
      <c r="M100" s="132">
        <f t="shared" si="40"/>
        <v>35.200000000000003</v>
      </c>
      <c r="N100" s="132">
        <f t="shared" si="40"/>
        <v>40.9</v>
      </c>
      <c r="O100" s="132">
        <f t="shared" si="40"/>
        <v>69.5</v>
      </c>
      <c r="P100" s="108">
        <f t="shared" si="40"/>
        <v>25</v>
      </c>
      <c r="Q100" s="99">
        <f>SUM(G100:K100)</f>
        <v>177.7</v>
      </c>
      <c r="R100" s="99">
        <f>SUM(L100:P100)</f>
        <v>195.6</v>
      </c>
      <c r="S100" s="99">
        <f>Q100+R100</f>
        <v>373.29999999999995</v>
      </c>
      <c r="T100" s="1"/>
      <c r="U100" s="1"/>
      <c r="V100" s="1"/>
      <c r="W100" s="1"/>
      <c r="X100" s="1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</row>
    <row r="101" spans="1:291" s="10" customFormat="1" ht="21.65" customHeight="1" thickTop="1" thickBot="1" x14ac:dyDescent="0.4">
      <c r="A101" s="77"/>
      <c r="B101" s="220" t="s">
        <v>108</v>
      </c>
      <c r="C101" s="221"/>
      <c r="D101" s="85"/>
      <c r="E101" s="124"/>
      <c r="F101" s="145">
        <f t="shared" ref="F101:P101" si="41">IF(F100,F105/F100-1,0)*-1</f>
        <v>0.40184232563703792</v>
      </c>
      <c r="G101" s="86">
        <f t="shared" si="41"/>
        <v>0.63636363636363635</v>
      </c>
      <c r="H101" s="87">
        <f t="shared" si="41"/>
        <v>1</v>
      </c>
      <c r="I101" s="87">
        <f t="shared" si="41"/>
        <v>1</v>
      </c>
      <c r="J101" s="87">
        <f t="shared" si="41"/>
        <v>1</v>
      </c>
      <c r="K101" s="87">
        <f t="shared" si="41"/>
        <v>1</v>
      </c>
      <c r="L101" s="87">
        <f t="shared" si="41"/>
        <v>1</v>
      </c>
      <c r="M101" s="87">
        <f t="shared" si="41"/>
        <v>1</v>
      </c>
      <c r="N101" s="87">
        <f t="shared" si="41"/>
        <v>1</v>
      </c>
      <c r="O101" s="87">
        <f t="shared" si="41"/>
        <v>1</v>
      </c>
      <c r="P101" s="87">
        <f t="shared" si="41"/>
        <v>1</v>
      </c>
      <c r="Q101" s="88">
        <f>SUM(G101:K101)/5</f>
        <v>0.92727272727272736</v>
      </c>
      <c r="R101" s="89">
        <f>SUM(L101:P101)/5</f>
        <v>1</v>
      </c>
      <c r="S101" s="90">
        <f>SUM(G101:P101)/10</f>
        <v>0.96363636363636362</v>
      </c>
      <c r="T101" s="1"/>
      <c r="U101" s="1"/>
      <c r="V101" s="1"/>
      <c r="W101" s="1"/>
      <c r="X101" s="1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</row>
    <row r="102" spans="1:291" s="10" customFormat="1" ht="16" thickTop="1" x14ac:dyDescent="0.35">
      <c r="A102"/>
      <c r="B102" s="56"/>
      <c r="C102" s="56"/>
      <c r="D102" s="82"/>
      <c r="E102" s="152"/>
      <c r="F102" s="126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31"/>
      <c r="R102" s="59"/>
      <c r="S102" s="31"/>
      <c r="T102" s="31"/>
      <c r="U102" s="31"/>
      <c r="V102" s="31"/>
      <c r="W102" s="31"/>
      <c r="X102" s="31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</row>
    <row r="103" spans="1:291" s="4" customFormat="1" ht="15.5" x14ac:dyDescent="0.35">
      <c r="A103" s="16"/>
      <c r="B103" s="58"/>
      <c r="C103" s="58"/>
      <c r="D103" s="57"/>
      <c r="E103" s="57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291" s="11" customFormat="1" ht="21.75" customHeight="1" thickBot="1" x14ac:dyDescent="0.4">
      <c r="A104" s="77"/>
      <c r="B104" s="135" t="s">
        <v>109</v>
      </c>
      <c r="C104" s="25"/>
      <c r="D104" s="26"/>
      <c r="E104" s="125"/>
      <c r="F104" s="146">
        <v>2022</v>
      </c>
      <c r="G104" s="69">
        <v>2023</v>
      </c>
      <c r="H104" s="69">
        <v>2024</v>
      </c>
      <c r="I104" s="69">
        <v>2025</v>
      </c>
      <c r="J104" s="69">
        <v>2026</v>
      </c>
      <c r="K104" s="69">
        <v>2027</v>
      </c>
      <c r="L104" s="69">
        <v>2028</v>
      </c>
      <c r="M104" s="69">
        <v>2029</v>
      </c>
      <c r="N104" s="69">
        <v>2030</v>
      </c>
      <c r="O104" s="69">
        <v>2031</v>
      </c>
      <c r="P104" s="69">
        <v>2032</v>
      </c>
      <c r="Q104" s="114" t="s">
        <v>35</v>
      </c>
      <c r="R104" s="29" t="s">
        <v>36</v>
      </c>
      <c r="S104" s="29" t="s">
        <v>37</v>
      </c>
      <c r="T104" s="30"/>
      <c r="U104" s="30"/>
      <c r="V104" s="30"/>
      <c r="W104" s="30"/>
      <c r="X104" s="30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  <c r="IW104" s="10"/>
      <c r="IX104" s="10"/>
      <c r="IY104" s="10"/>
      <c r="IZ104" s="10"/>
      <c r="JA104" s="10"/>
      <c r="JB104" s="10"/>
      <c r="JC104" s="10"/>
      <c r="JD104" s="10"/>
      <c r="JE104" s="10"/>
      <c r="JF104" s="10"/>
      <c r="JG104" s="10"/>
      <c r="JH104" s="10"/>
      <c r="JI104" s="10"/>
      <c r="JJ104" s="10"/>
      <c r="JK104" s="10"/>
      <c r="JL104" s="10"/>
      <c r="JM104" s="10"/>
      <c r="JN104" s="10"/>
      <c r="JO104" s="10"/>
      <c r="JP104" s="10"/>
      <c r="JQ104" s="10"/>
      <c r="JR104" s="10"/>
      <c r="JS104" s="10"/>
      <c r="JT104" s="10"/>
      <c r="JU104" s="10"/>
      <c r="JV104" s="10"/>
      <c r="JW104" s="10"/>
      <c r="JX104" s="10"/>
      <c r="JY104" s="10"/>
      <c r="JZ104" s="10"/>
      <c r="KA104" s="10"/>
      <c r="KB104" s="10"/>
      <c r="KC104" s="10"/>
      <c r="KD104" s="10"/>
      <c r="KE104" s="10"/>
    </row>
    <row r="105" spans="1:291" s="11" customFormat="1" ht="16.5" thickTop="1" thickBot="1" x14ac:dyDescent="0.4">
      <c r="A105" s="77"/>
      <c r="B105" s="104" t="s">
        <v>110</v>
      </c>
      <c r="C105" s="76"/>
      <c r="D105" s="76"/>
      <c r="E105" s="128"/>
      <c r="F105" s="133">
        <v>50</v>
      </c>
      <c r="G105" s="105">
        <v>25</v>
      </c>
      <c r="H105" s="105"/>
      <c r="I105" s="105"/>
      <c r="J105" s="105"/>
      <c r="K105" s="105"/>
      <c r="L105" s="105"/>
      <c r="M105" s="105"/>
      <c r="N105" s="105"/>
      <c r="O105" s="105"/>
      <c r="P105" s="105"/>
      <c r="Q105" s="68">
        <f>SUM(G105:K105)</f>
        <v>25</v>
      </c>
      <c r="R105" s="28">
        <f>SUM(L105:P105)</f>
        <v>0</v>
      </c>
      <c r="S105" s="28">
        <f>SUM(Q105+R105)</f>
        <v>25</v>
      </c>
      <c r="T105" s="31"/>
      <c r="U105" s="31"/>
      <c r="V105" s="31"/>
      <c r="W105" s="31"/>
      <c r="X105" s="31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  <c r="IW105" s="10"/>
      <c r="IX105" s="10"/>
      <c r="IY105" s="10"/>
      <c r="IZ105" s="10"/>
      <c r="JA105" s="10"/>
      <c r="JB105" s="10"/>
      <c r="JC105" s="10"/>
      <c r="JD105" s="10"/>
      <c r="JE105" s="10"/>
      <c r="JF105" s="10"/>
      <c r="JG105" s="10"/>
      <c r="JH105" s="10"/>
      <c r="JI105" s="10"/>
      <c r="JJ105" s="10"/>
      <c r="JK105" s="10"/>
      <c r="JL105" s="10"/>
      <c r="JM105" s="10"/>
      <c r="JN105" s="10"/>
      <c r="JO105" s="10"/>
      <c r="JP105" s="10"/>
      <c r="JQ105" s="10"/>
      <c r="JR105" s="10"/>
      <c r="JS105" s="10"/>
      <c r="JT105" s="10"/>
      <c r="JU105" s="10"/>
      <c r="JV105" s="10"/>
      <c r="JW105" s="10"/>
      <c r="JX105" s="10"/>
      <c r="JY105" s="10"/>
      <c r="JZ105" s="10"/>
      <c r="KA105" s="10"/>
      <c r="KB105" s="10"/>
      <c r="KC105" s="10"/>
      <c r="KD105" s="10"/>
      <c r="KE105" s="10"/>
    </row>
    <row r="106" spans="1:291" s="10" customFormat="1" ht="16" thickTop="1" x14ac:dyDescent="0.35">
      <c r="A106" s="16"/>
      <c r="B106" s="53"/>
      <c r="C106" s="53"/>
      <c r="D106" s="54"/>
      <c r="E106" s="9"/>
      <c r="F106" s="126"/>
      <c r="G106" s="126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31"/>
      <c r="U106" s="31"/>
      <c r="V106" s="31"/>
      <c r="W106" s="31"/>
      <c r="X106" s="31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</row>
    <row r="107" spans="1:291" s="10" customFormat="1" ht="15.5" x14ac:dyDescent="0.35">
      <c r="A107"/>
      <c r="B107" s="53"/>
      <c r="C107" s="53"/>
      <c r="D107" s="54"/>
      <c r="E107" s="9"/>
      <c r="F107" s="127"/>
      <c r="G107" s="127"/>
      <c r="H107" s="55"/>
      <c r="I107" s="55"/>
      <c r="J107" s="55"/>
      <c r="K107" s="55"/>
      <c r="L107" s="55"/>
      <c r="M107" s="55"/>
      <c r="N107" s="55"/>
      <c r="O107" s="55"/>
      <c r="P107" s="55"/>
      <c r="Q107" s="31"/>
      <c r="R107" s="31"/>
      <c r="S107" s="31"/>
      <c r="T107" s="31"/>
      <c r="U107" s="31"/>
      <c r="V107" s="31"/>
      <c r="W107" s="31"/>
      <c r="X107" s="31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</row>
    <row r="108" spans="1:291" s="8" customFormat="1" ht="30.75" customHeight="1" x14ac:dyDescent="0.35">
      <c r="A108" s="77"/>
      <c r="B108" s="79" t="s">
        <v>111</v>
      </c>
      <c r="C108" s="60"/>
      <c r="D108" s="60"/>
      <c r="E108" s="60"/>
      <c r="F108" s="147">
        <v>2022</v>
      </c>
      <c r="G108" s="70">
        <v>2023</v>
      </c>
      <c r="H108" s="109">
        <v>2024</v>
      </c>
      <c r="I108" s="70">
        <v>2025</v>
      </c>
      <c r="J108" s="109">
        <v>2026</v>
      </c>
      <c r="K108" s="70">
        <v>2027</v>
      </c>
      <c r="L108" s="109">
        <v>2028</v>
      </c>
      <c r="M108" s="70">
        <v>2029</v>
      </c>
      <c r="N108" s="109">
        <v>2030</v>
      </c>
      <c r="O108" s="70">
        <v>2031</v>
      </c>
      <c r="P108" s="109">
        <v>2032</v>
      </c>
      <c r="Q108" s="117" t="s">
        <v>35</v>
      </c>
      <c r="R108" s="61" t="s">
        <v>36</v>
      </c>
      <c r="S108" s="61" t="s">
        <v>37</v>
      </c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</row>
    <row r="109" spans="1:291" ht="15.5" x14ac:dyDescent="0.35">
      <c r="A109" s="78"/>
      <c r="B109" s="74" t="s">
        <v>112</v>
      </c>
      <c r="C109" s="74"/>
      <c r="D109" s="75"/>
      <c r="E109" s="129"/>
      <c r="F109" s="20">
        <f>(D41*0.2/2)+Uträkning[[#Totals],[år 2022]]+'ANL budget'!B2</f>
        <v>24.455780099999998</v>
      </c>
      <c r="G109" s="66">
        <f>(F97*0.2)+(G97*0.2/2)+Uträkning[[#Totals],[år 2023]]+'ANL budget'!B3</f>
        <v>35.078237479999991</v>
      </c>
      <c r="H109" s="20">
        <f>(F97*0.2)+(G97*0.2)+(H97*0.2/2)+Uträkning[[#Totals],[år 2024]]+'ANL budget'!B4</f>
        <v>38.274563349999987</v>
      </c>
      <c r="I109" s="20">
        <f>(F97*0.2)+(G97*0.2)+(H97*0.2)+(I97*0.2/2)+Uträkning[[#Totals],[år 2025]]+'ANL budget'!B5</f>
        <v>41.833708850000001</v>
      </c>
      <c r="J109" s="20">
        <f>(F97*0.2)+(G97*0.2)+(H97*0.2)+(I97*0.2)+(J97*0.2/2)+Uträkning[[#Totals],[år 2026]]+'ANL budget'!B6</f>
        <v>44.718519129999997</v>
      </c>
      <c r="K109" s="20">
        <f>(F97*0.2/2)+(G97*0.2)+(H97*0.2)+(I97*0.2)+(J97*0.2)+(K97*0.2/2)+Uträkning[[#Totals],[år 2027]]+'ANL budget'!B7</f>
        <v>42.337378670000007</v>
      </c>
      <c r="L109" s="20">
        <f>(G97*0.2/2)+(H97*0.2)+(I97*0.2)+(J97*0.2)+(K97*0.2)+(L97*0.2/2)+Uträkning[[#Totals],[år 2028]]+'ANL budget'!B8</f>
        <v>39.278218200000012</v>
      </c>
      <c r="M109" s="66">
        <f>(H97*0.2/2)+(I97*0.2)+(J97*0.2)+(K97*0.2)+(L97*0.2)+(M97*0.2/2)+Uträkning[[#Totals],[år 2029]]+'ANL budget'!B9</f>
        <v>39.732007760000002</v>
      </c>
      <c r="N109" s="20">
        <f>(I97*0.2/2)+(J97*0.2)+(K97*0.2)+(L97*0.2)+(M97*0.2)+(N97*0.2/2)+Uträkning[[#Totals],[år 2030]]+'ANL budget'!B10</f>
        <v>40.358892710000006</v>
      </c>
      <c r="O109" s="20">
        <f>(J97*0.2/2)+(K97*0.2)+(L97*0.2)+(M97*0.2)+(N97*0.2)+(O97*0.2/2)+Uträkning[[#Totals],[år 2031]]+'ANL budget'!B11</f>
        <v>41.659363450000001</v>
      </c>
      <c r="P109" s="20">
        <f>(K97*0.2/2)+(L97*0.2)+(M97*0.2)+(N97*0.2)+(O97*0.2)+(P97*0.2/2)+Uträkning[[#Totals],[år 2032]]+'ANL budget'!B12</f>
        <v>39.515309719999998</v>
      </c>
      <c r="Q109" s="115">
        <f>SUM(G109:K109)</f>
        <v>202.24240748</v>
      </c>
      <c r="R109" s="21">
        <f>SUM(L109:P109)</f>
        <v>200.54379184000004</v>
      </c>
      <c r="S109" s="21">
        <f>SUM(Q109:R109)</f>
        <v>402.78619932000004</v>
      </c>
      <c r="T109" s="1"/>
      <c r="U109" s="1"/>
      <c r="V109" s="1"/>
      <c r="W109" s="1"/>
      <c r="X109" s="1"/>
    </row>
    <row r="110" spans="1:291" ht="15.5" x14ac:dyDescent="0.35">
      <c r="A110" s="77"/>
      <c r="B110" s="74" t="s">
        <v>113</v>
      </c>
      <c r="C110" s="74"/>
      <c r="D110" s="75"/>
      <c r="E110" s="129"/>
      <c r="F110" s="20">
        <v>0</v>
      </c>
      <c r="G110" s="66">
        <v>0</v>
      </c>
      <c r="H110" s="20">
        <v>0</v>
      </c>
      <c r="I110" s="20">
        <v>0</v>
      </c>
      <c r="J110" s="66">
        <v>0</v>
      </c>
      <c r="K110" s="20">
        <v>0</v>
      </c>
      <c r="L110" s="20">
        <v>0</v>
      </c>
      <c r="M110" s="66">
        <v>0</v>
      </c>
      <c r="N110" s="20">
        <v>0</v>
      </c>
      <c r="O110" s="20">
        <v>0</v>
      </c>
      <c r="P110" s="20">
        <v>0</v>
      </c>
      <c r="Q110" s="115">
        <f>SUM(G110:K110)</f>
        <v>0</v>
      </c>
      <c r="R110" s="21">
        <f>SUM(L110:P110)</f>
        <v>0</v>
      </c>
      <c r="S110" s="21">
        <f t="shared" ref="S110" si="42">SUM(Q110:R110)</f>
        <v>0</v>
      </c>
      <c r="T110" s="1"/>
      <c r="U110" s="1"/>
      <c r="V110" s="1"/>
      <c r="W110" s="1"/>
      <c r="X110" s="1"/>
    </row>
    <row r="111" spans="1:291" ht="15.5" x14ac:dyDescent="0.35">
      <c r="A111" s="77"/>
      <c r="B111" s="74" t="s">
        <v>114</v>
      </c>
      <c r="C111" s="74"/>
      <c r="D111" s="75"/>
      <c r="E111" s="129"/>
      <c r="F111" s="20">
        <v>0</v>
      </c>
      <c r="G111" s="66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115">
        <f>SUM(G111:K111)</f>
        <v>0</v>
      </c>
      <c r="R111" s="21">
        <f>SUM(L111:P111)</f>
        <v>0</v>
      </c>
      <c r="S111" s="21">
        <f>SUM(Q111:R111)</f>
        <v>0</v>
      </c>
      <c r="T111" s="1"/>
      <c r="U111" s="1"/>
      <c r="V111" s="1"/>
      <c r="W111" s="1"/>
      <c r="X111" s="1"/>
    </row>
    <row r="112" spans="1:291" ht="16.5" customHeight="1" thickBot="1" x14ac:dyDescent="0.4">
      <c r="A112" s="78"/>
      <c r="B112" s="27" t="s">
        <v>115</v>
      </c>
      <c r="C112" s="71"/>
      <c r="D112" s="62"/>
      <c r="E112" s="62"/>
      <c r="F112" s="148">
        <f>F109+F110+F111</f>
        <v>24.455780099999998</v>
      </c>
      <c r="G112" s="68">
        <f t="shared" ref="G112:P112" si="43">G109+G110+G111</f>
        <v>35.078237479999991</v>
      </c>
      <c r="H112" s="28">
        <f t="shared" si="43"/>
        <v>38.274563349999987</v>
      </c>
      <c r="I112" s="28">
        <f t="shared" si="43"/>
        <v>41.833708850000001</v>
      </c>
      <c r="J112" s="28">
        <f t="shared" si="43"/>
        <v>44.718519129999997</v>
      </c>
      <c r="K112" s="28">
        <f t="shared" si="43"/>
        <v>42.337378670000007</v>
      </c>
      <c r="L112" s="28">
        <f t="shared" si="43"/>
        <v>39.278218200000012</v>
      </c>
      <c r="M112" s="28">
        <f t="shared" si="43"/>
        <v>39.732007760000002</v>
      </c>
      <c r="N112" s="28">
        <f t="shared" si="43"/>
        <v>40.358892710000006</v>
      </c>
      <c r="O112" s="28">
        <f t="shared" si="43"/>
        <v>41.659363450000001</v>
      </c>
      <c r="P112" s="28">
        <f t="shared" si="43"/>
        <v>39.515309719999998</v>
      </c>
      <c r="Q112" s="28">
        <f>SUM(Q109:Q111)</f>
        <v>202.24240748</v>
      </c>
      <c r="R112" s="28">
        <f>SUM(R109:R111)</f>
        <v>200.54379184000004</v>
      </c>
      <c r="S112" s="28">
        <f>SUM(S109:S111)</f>
        <v>402.78619932000004</v>
      </c>
      <c r="T112" s="1"/>
      <c r="U112" s="1"/>
      <c r="V112" s="1"/>
      <c r="W112" s="1"/>
      <c r="X112" s="1"/>
    </row>
    <row r="113" spans="2:16" ht="15" thickTop="1" x14ac:dyDescent="0.35"/>
    <row r="120" spans="2:16" ht="15.5" x14ac:dyDescent="0.35">
      <c r="B120" s="16"/>
      <c r="C120" s="16"/>
      <c r="D120" s="35"/>
      <c r="E120" s="34"/>
      <c r="F120" s="35"/>
      <c r="G120" s="36"/>
      <c r="H120" s="36"/>
      <c r="I120" s="36"/>
      <c r="J120" s="36"/>
      <c r="K120" s="37"/>
    </row>
    <row r="123" spans="2:16" s="16" customFormat="1" x14ac:dyDescent="0.35"/>
    <row r="128" spans="2:16" s="1" customFormat="1" ht="15.5" x14ac:dyDescent="0.35">
      <c r="B128" s="13"/>
      <c r="C128" s="13"/>
      <c r="D128" s="13"/>
      <c r="E128" s="14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2:3" s="1" customFormat="1" ht="15.5" x14ac:dyDescent="0.35">
      <c r="B129" s="13"/>
      <c r="C129" s="13"/>
    </row>
  </sheetData>
  <mergeCells count="8">
    <mergeCell ref="B101:C101"/>
    <mergeCell ref="B51:C51"/>
    <mergeCell ref="C9:D9"/>
    <mergeCell ref="C3:F3"/>
    <mergeCell ref="C4:F4"/>
    <mergeCell ref="C5:F5"/>
    <mergeCell ref="C6:F6"/>
    <mergeCell ref="B55:C55"/>
  </mergeCells>
  <hyperlinks>
    <hyperlink ref="R3" r:id="rId1" xr:uid="{EA0B06ED-B4C0-4A8A-8FF3-EF3AF864C4EF}"/>
    <hyperlink ref="C5" r:id="rId2" display="mailto:linda.rudenwall@sparvagen.goteborg.se" xr:uid="{B16DBFFB-8907-4A1C-834F-36451E27357D}"/>
  </hyperlinks>
  <pageMargins left="0.7" right="0.7" top="0.75" bottom="0.75" header="0.3" footer="0.3"/>
  <pageSetup paperSize="8" scale="40" fitToWidth="0" orientation="landscape" r:id="rId3"/>
  <ignoredErrors>
    <ignoredError sqref="G51:P51 F95:P95 Q105:R105 Q109:R111 Q58:R58 Q65:R67" formulaRange="1"/>
  </ignoredErrors>
  <drawing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4E20-3390-4241-9846-947277B31D25}">
  <dimension ref="A1:O872"/>
  <sheetViews>
    <sheetView showGridLines="0" workbookViewId="0">
      <pane ySplit="15" topLeftCell="A854" activePane="bottomLeft" state="frozen"/>
      <selection pane="bottomLeft" activeCell="J4" sqref="J1:J1048576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1824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1821</v>
      </c>
      <c r="D14" s="212" t="s">
        <v>162</v>
      </c>
      <c r="E14" s="212" t="s">
        <v>163</v>
      </c>
      <c r="F14" s="212" t="s">
        <v>1825</v>
      </c>
      <c r="G14" s="251" t="s">
        <v>1822</v>
      </c>
      <c r="H14" s="239"/>
      <c r="I14" s="239"/>
      <c r="J14" s="213" t="s">
        <v>166</v>
      </c>
      <c r="K14" s="212" t="s">
        <v>167</v>
      </c>
      <c r="L14" s="212" t="s">
        <v>1826</v>
      </c>
      <c r="M14" s="212" t="s">
        <v>1823</v>
      </c>
      <c r="N14" s="251" t="s">
        <v>1827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-2003748.11</v>
      </c>
      <c r="H18" s="239"/>
      <c r="I18" s="239"/>
      <c r="J18" s="210">
        <v>-76334</v>
      </c>
      <c r="K18" s="209">
        <v>0</v>
      </c>
      <c r="L18" s="209">
        <v>-2080082.11</v>
      </c>
      <c r="M18" s="209">
        <v>286251.89</v>
      </c>
      <c r="N18" s="242">
        <v>209917.89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-929000</v>
      </c>
      <c r="H19" s="239"/>
      <c r="I19" s="239"/>
      <c r="J19" s="210">
        <v>0</v>
      </c>
      <c r="K19" s="209">
        <v>0</v>
      </c>
      <c r="L19" s="209">
        <v>-929000</v>
      </c>
      <c r="M19" s="209">
        <v>0</v>
      </c>
      <c r="N19" s="242">
        <v>0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-230000</v>
      </c>
      <c r="H20" s="239"/>
      <c r="I20" s="239"/>
      <c r="J20" s="210">
        <v>0</v>
      </c>
      <c r="K20" s="209">
        <v>0</v>
      </c>
      <c r="L20" s="209">
        <v>-230000</v>
      </c>
      <c r="M20" s="209">
        <v>0</v>
      </c>
      <c r="N20" s="242">
        <v>0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-969000</v>
      </c>
      <c r="H21" s="239"/>
      <c r="I21" s="239"/>
      <c r="J21" s="210">
        <v>0</v>
      </c>
      <c r="K21" s="209">
        <v>0</v>
      </c>
      <c r="L21" s="209">
        <v>-969000</v>
      </c>
      <c r="M21" s="209">
        <v>0</v>
      </c>
      <c r="N21" s="242">
        <v>0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-4131748.11</v>
      </c>
      <c r="H22" s="244"/>
      <c r="I22" s="244"/>
      <c r="J22" s="208">
        <v>-76334</v>
      </c>
      <c r="K22" s="207">
        <v>0</v>
      </c>
      <c r="L22" s="207">
        <v>-4208082.1100000003</v>
      </c>
      <c r="M22" s="207">
        <v>286251.89</v>
      </c>
      <c r="N22" s="245">
        <v>209917.89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-6608400</v>
      </c>
      <c r="H36" s="239"/>
      <c r="I36" s="239"/>
      <c r="J36" s="210">
        <v>0</v>
      </c>
      <c r="K36" s="209">
        <v>0</v>
      </c>
      <c r="L36" s="209">
        <v>-6608400</v>
      </c>
      <c r="M36" s="209">
        <v>0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-7138338</v>
      </c>
      <c r="H37" s="239"/>
      <c r="I37" s="239"/>
      <c r="J37" s="210">
        <v>0</v>
      </c>
      <c r="K37" s="209">
        <v>0</v>
      </c>
      <c r="L37" s="209">
        <v>-7138338</v>
      </c>
      <c r="M37" s="209">
        <v>0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-1728820</v>
      </c>
      <c r="H38" s="239"/>
      <c r="I38" s="239"/>
      <c r="J38" s="210">
        <v>0</v>
      </c>
      <c r="K38" s="209">
        <v>0</v>
      </c>
      <c r="L38" s="209">
        <v>-1728820</v>
      </c>
      <c r="M38" s="209">
        <v>0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-1728820</v>
      </c>
      <c r="H39" s="239"/>
      <c r="I39" s="239"/>
      <c r="J39" s="210">
        <v>0</v>
      </c>
      <c r="K39" s="209">
        <v>0</v>
      </c>
      <c r="L39" s="209">
        <v>-1728820</v>
      </c>
      <c r="M39" s="209">
        <v>0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-1728820</v>
      </c>
      <c r="H40" s="239"/>
      <c r="I40" s="239"/>
      <c r="J40" s="210">
        <v>0</v>
      </c>
      <c r="K40" s="209">
        <v>0</v>
      </c>
      <c r="L40" s="209">
        <v>-1728820</v>
      </c>
      <c r="M40" s="209">
        <v>0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-985782.31</v>
      </c>
      <c r="H42" s="239"/>
      <c r="I42" s="239"/>
      <c r="J42" s="210">
        <v>0</v>
      </c>
      <c r="K42" s="209">
        <v>0</v>
      </c>
      <c r="L42" s="209">
        <v>-985782.31</v>
      </c>
      <c r="M42" s="209">
        <v>0</v>
      </c>
      <c r="N42" s="242">
        <v>0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-1567000</v>
      </c>
      <c r="H44" s="239"/>
      <c r="I44" s="239"/>
      <c r="J44" s="210">
        <v>0</v>
      </c>
      <c r="K44" s="209">
        <v>0</v>
      </c>
      <c r="L44" s="209">
        <v>-1567000</v>
      </c>
      <c r="M44" s="209">
        <v>0</v>
      </c>
      <c r="N44" s="242">
        <v>0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-1264347.94</v>
      </c>
      <c r="H45" s="239"/>
      <c r="I45" s="239"/>
      <c r="J45" s="210">
        <v>0</v>
      </c>
      <c r="K45" s="209">
        <v>0</v>
      </c>
      <c r="L45" s="209">
        <v>-1264347.94</v>
      </c>
      <c r="M45" s="209">
        <v>0</v>
      </c>
      <c r="N45" s="242">
        <v>0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-1567000</v>
      </c>
      <c r="H47" s="239"/>
      <c r="I47" s="239"/>
      <c r="J47" s="210">
        <v>0</v>
      </c>
      <c r="K47" s="209">
        <v>0</v>
      </c>
      <c r="L47" s="209">
        <v>-1567000</v>
      </c>
      <c r="M47" s="209">
        <v>0</v>
      </c>
      <c r="N47" s="242">
        <v>0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-750224</v>
      </c>
      <c r="H48" s="239"/>
      <c r="I48" s="239"/>
      <c r="J48" s="210">
        <v>0</v>
      </c>
      <c r="K48" s="209">
        <v>0</v>
      </c>
      <c r="L48" s="209">
        <v>-750224</v>
      </c>
      <c r="M48" s="209">
        <v>0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-654354</v>
      </c>
      <c r="H49" s="239"/>
      <c r="I49" s="239"/>
      <c r="J49" s="210">
        <v>0</v>
      </c>
      <c r="K49" s="209">
        <v>0</v>
      </c>
      <c r="L49" s="209">
        <v>-654354</v>
      </c>
      <c r="M49" s="209">
        <v>0</v>
      </c>
      <c r="N49" s="242">
        <v>0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-654354</v>
      </c>
      <c r="H51" s="239"/>
      <c r="I51" s="239"/>
      <c r="J51" s="210">
        <v>0</v>
      </c>
      <c r="K51" s="209">
        <v>0</v>
      </c>
      <c r="L51" s="209">
        <v>-654354</v>
      </c>
      <c r="M51" s="209">
        <v>0</v>
      </c>
      <c r="N51" s="242">
        <v>0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-654354</v>
      </c>
      <c r="H52" s="239"/>
      <c r="I52" s="239"/>
      <c r="J52" s="210">
        <v>0</v>
      </c>
      <c r="K52" s="209">
        <v>0</v>
      </c>
      <c r="L52" s="209">
        <v>-654354</v>
      </c>
      <c r="M52" s="209">
        <v>0</v>
      </c>
      <c r="N52" s="242">
        <v>0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-654354</v>
      </c>
      <c r="H53" s="239"/>
      <c r="I53" s="239"/>
      <c r="J53" s="210">
        <v>0</v>
      </c>
      <c r="K53" s="209">
        <v>0</v>
      </c>
      <c r="L53" s="209">
        <v>-654354</v>
      </c>
      <c r="M53" s="209">
        <v>0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-654354</v>
      </c>
      <c r="H54" s="239"/>
      <c r="I54" s="239"/>
      <c r="J54" s="210">
        <v>0</v>
      </c>
      <c r="K54" s="209">
        <v>0</v>
      </c>
      <c r="L54" s="209">
        <v>-654354</v>
      </c>
      <c r="M54" s="209">
        <v>0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-654354</v>
      </c>
      <c r="H59" s="239"/>
      <c r="I59" s="239"/>
      <c r="J59" s="210">
        <v>0</v>
      </c>
      <c r="K59" s="209">
        <v>0</v>
      </c>
      <c r="L59" s="209">
        <v>-654354</v>
      </c>
      <c r="M59" s="209">
        <v>0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-654354</v>
      </c>
      <c r="H62" s="239"/>
      <c r="I62" s="239"/>
      <c r="J62" s="210">
        <v>0</v>
      </c>
      <c r="K62" s="209">
        <v>0</v>
      </c>
      <c r="L62" s="209">
        <v>-654354</v>
      </c>
      <c r="M62" s="209">
        <v>0</v>
      </c>
      <c r="N62" s="242">
        <v>0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-654354</v>
      </c>
      <c r="H63" s="239"/>
      <c r="I63" s="239"/>
      <c r="J63" s="210">
        <v>0</v>
      </c>
      <c r="K63" s="209">
        <v>0</v>
      </c>
      <c r="L63" s="209">
        <v>-654354</v>
      </c>
      <c r="M63" s="209">
        <v>0</v>
      </c>
      <c r="N63" s="242">
        <v>0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-654354</v>
      </c>
      <c r="H64" s="239"/>
      <c r="I64" s="239"/>
      <c r="J64" s="210">
        <v>0</v>
      </c>
      <c r="K64" s="209">
        <v>0</v>
      </c>
      <c r="L64" s="209">
        <v>-654354</v>
      </c>
      <c r="M64" s="209">
        <v>0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-654354</v>
      </c>
      <c r="H65" s="239"/>
      <c r="I65" s="239"/>
      <c r="J65" s="210">
        <v>0</v>
      </c>
      <c r="K65" s="209">
        <v>0</v>
      </c>
      <c r="L65" s="209">
        <v>-654354</v>
      </c>
      <c r="M65" s="209">
        <v>0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-654354</v>
      </c>
      <c r="H66" s="239"/>
      <c r="I66" s="239"/>
      <c r="J66" s="210">
        <v>0</v>
      </c>
      <c r="K66" s="209">
        <v>0</v>
      </c>
      <c r="L66" s="209">
        <v>-654354</v>
      </c>
      <c r="M66" s="209">
        <v>0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-654353</v>
      </c>
      <c r="H68" s="239"/>
      <c r="I68" s="239"/>
      <c r="J68" s="210">
        <v>0</v>
      </c>
      <c r="K68" s="209">
        <v>0</v>
      </c>
      <c r="L68" s="209">
        <v>-654353</v>
      </c>
      <c r="M68" s="209">
        <v>0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-654353</v>
      </c>
      <c r="H73" s="239"/>
      <c r="I73" s="239"/>
      <c r="J73" s="210">
        <v>0</v>
      </c>
      <c r="K73" s="209">
        <v>0</v>
      </c>
      <c r="L73" s="209">
        <v>-654353</v>
      </c>
      <c r="M73" s="209">
        <v>0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-654353</v>
      </c>
      <c r="H75" s="239"/>
      <c r="I75" s="239"/>
      <c r="J75" s="210">
        <v>0</v>
      </c>
      <c r="K75" s="209">
        <v>0</v>
      </c>
      <c r="L75" s="209">
        <v>-654353</v>
      </c>
      <c r="M75" s="209">
        <v>0</v>
      </c>
      <c r="N75" s="242">
        <v>0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-654353</v>
      </c>
      <c r="H76" s="239"/>
      <c r="I76" s="239"/>
      <c r="J76" s="210">
        <v>0</v>
      </c>
      <c r="K76" s="209">
        <v>0</v>
      </c>
      <c r="L76" s="209">
        <v>-654353</v>
      </c>
      <c r="M76" s="209">
        <v>0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-654353</v>
      </c>
      <c r="H78" s="239"/>
      <c r="I78" s="239"/>
      <c r="J78" s="210">
        <v>0</v>
      </c>
      <c r="K78" s="209">
        <v>0</v>
      </c>
      <c r="L78" s="209">
        <v>-654353</v>
      </c>
      <c r="M78" s="209">
        <v>0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-654353</v>
      </c>
      <c r="H79" s="239"/>
      <c r="I79" s="239"/>
      <c r="J79" s="210">
        <v>0</v>
      </c>
      <c r="K79" s="209">
        <v>0</v>
      </c>
      <c r="L79" s="209">
        <v>-654353</v>
      </c>
      <c r="M79" s="209">
        <v>0</v>
      </c>
      <c r="N79" s="242">
        <v>0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-654353</v>
      </c>
      <c r="H80" s="239"/>
      <c r="I80" s="239"/>
      <c r="J80" s="210">
        <v>0</v>
      </c>
      <c r="K80" s="209">
        <v>0</v>
      </c>
      <c r="L80" s="209">
        <v>-654353</v>
      </c>
      <c r="M80" s="209">
        <v>0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-654353</v>
      </c>
      <c r="H82" s="239"/>
      <c r="I82" s="239"/>
      <c r="J82" s="210">
        <v>0</v>
      </c>
      <c r="K82" s="209">
        <v>0</v>
      </c>
      <c r="L82" s="209">
        <v>-654353</v>
      </c>
      <c r="M82" s="209">
        <v>0</v>
      </c>
      <c r="N82" s="242">
        <v>0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-654353</v>
      </c>
      <c r="H83" s="239"/>
      <c r="I83" s="239"/>
      <c r="J83" s="210">
        <v>0</v>
      </c>
      <c r="K83" s="209">
        <v>0</v>
      </c>
      <c r="L83" s="209">
        <v>-654353</v>
      </c>
      <c r="M83" s="209">
        <v>0</v>
      </c>
      <c r="N83" s="242">
        <v>0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-654353</v>
      </c>
      <c r="H85" s="239"/>
      <c r="I85" s="239"/>
      <c r="J85" s="210">
        <v>0</v>
      </c>
      <c r="K85" s="209">
        <v>0</v>
      </c>
      <c r="L85" s="209">
        <v>-654353</v>
      </c>
      <c r="M85" s="209">
        <v>0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-654353</v>
      </c>
      <c r="H87" s="239"/>
      <c r="I87" s="239"/>
      <c r="J87" s="210">
        <v>0</v>
      </c>
      <c r="K87" s="209">
        <v>0</v>
      </c>
      <c r="L87" s="209">
        <v>-654353</v>
      </c>
      <c r="M87" s="209">
        <v>0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-654353</v>
      </c>
      <c r="H91" s="239"/>
      <c r="I91" s="239"/>
      <c r="J91" s="210">
        <v>0</v>
      </c>
      <c r="K91" s="209">
        <v>0</v>
      </c>
      <c r="L91" s="209">
        <v>-654353</v>
      </c>
      <c r="M91" s="209">
        <v>0</v>
      </c>
      <c r="N91" s="242">
        <v>0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-654353</v>
      </c>
      <c r="H92" s="239"/>
      <c r="I92" s="239"/>
      <c r="J92" s="210">
        <v>0</v>
      </c>
      <c r="K92" s="209">
        <v>0</v>
      </c>
      <c r="L92" s="209">
        <v>-654353</v>
      </c>
      <c r="M92" s="209">
        <v>0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-654353</v>
      </c>
      <c r="H96" s="239"/>
      <c r="I96" s="239"/>
      <c r="J96" s="210">
        <v>0</v>
      </c>
      <c r="K96" s="209">
        <v>0</v>
      </c>
      <c r="L96" s="209">
        <v>-654353</v>
      </c>
      <c r="M96" s="209">
        <v>0</v>
      </c>
      <c r="N96" s="242">
        <v>0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-654353</v>
      </c>
      <c r="H97" s="239"/>
      <c r="I97" s="239"/>
      <c r="J97" s="210">
        <v>0</v>
      </c>
      <c r="K97" s="209">
        <v>0</v>
      </c>
      <c r="L97" s="209">
        <v>-654353</v>
      </c>
      <c r="M97" s="209">
        <v>0</v>
      </c>
      <c r="N97" s="242">
        <v>0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-654353</v>
      </c>
      <c r="H99" s="239"/>
      <c r="I99" s="239"/>
      <c r="J99" s="210">
        <v>0</v>
      </c>
      <c r="K99" s="209">
        <v>0</v>
      </c>
      <c r="L99" s="209">
        <v>-654353</v>
      </c>
      <c r="M99" s="209">
        <v>0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-654353</v>
      </c>
      <c r="H102" s="239"/>
      <c r="I102" s="239"/>
      <c r="J102" s="210">
        <v>0</v>
      </c>
      <c r="K102" s="209">
        <v>0</v>
      </c>
      <c r="L102" s="209">
        <v>-654353</v>
      </c>
      <c r="M102" s="209">
        <v>0</v>
      </c>
      <c r="N102" s="242">
        <v>0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-654353</v>
      </c>
      <c r="H103" s="239"/>
      <c r="I103" s="239"/>
      <c r="J103" s="210">
        <v>0</v>
      </c>
      <c r="K103" s="209">
        <v>0</v>
      </c>
      <c r="L103" s="209">
        <v>-654353</v>
      </c>
      <c r="M103" s="209">
        <v>0</v>
      </c>
      <c r="N103" s="242">
        <v>0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-1100000</v>
      </c>
      <c r="H285" s="239"/>
      <c r="I285" s="239"/>
      <c r="J285" s="210">
        <v>0</v>
      </c>
      <c r="K285" s="209">
        <v>0</v>
      </c>
      <c r="L285" s="209">
        <v>-1100000</v>
      </c>
      <c r="M285" s="209">
        <v>0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-1100000</v>
      </c>
      <c r="H286" s="239"/>
      <c r="I286" s="239"/>
      <c r="J286" s="210">
        <v>0</v>
      </c>
      <c r="K286" s="209">
        <v>0</v>
      </c>
      <c r="L286" s="209">
        <v>-1100000</v>
      </c>
      <c r="M286" s="209">
        <v>0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-109118716.79000001</v>
      </c>
      <c r="H290" s="244"/>
      <c r="I290" s="244"/>
      <c r="J290" s="208">
        <v>0</v>
      </c>
      <c r="K290" s="207">
        <v>0</v>
      </c>
      <c r="L290" s="207">
        <v>-109118716.79000001</v>
      </c>
      <c r="M290" s="207">
        <v>5.96</v>
      </c>
      <c r="N290" s="245">
        <v>5.96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-268657.71999999997</v>
      </c>
      <c r="H294" s="239"/>
      <c r="I294" s="239"/>
      <c r="J294" s="210">
        <v>-19191</v>
      </c>
      <c r="K294" s="209">
        <v>0</v>
      </c>
      <c r="L294" s="209">
        <v>-287848.71999999997</v>
      </c>
      <c r="M294" s="209">
        <v>115143.28</v>
      </c>
      <c r="N294" s="242">
        <v>95952.28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-4439452.9400000004</v>
      </c>
      <c r="H295" s="239"/>
      <c r="I295" s="239"/>
      <c r="J295" s="210">
        <v>-317163</v>
      </c>
      <c r="K295" s="209">
        <v>0</v>
      </c>
      <c r="L295" s="209">
        <v>-4756615.9400000004</v>
      </c>
      <c r="M295" s="209">
        <v>1902979.06</v>
      </c>
      <c r="N295" s="242">
        <v>1585816.06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-2539790.58</v>
      </c>
      <c r="H296" s="239"/>
      <c r="I296" s="239"/>
      <c r="J296" s="210">
        <v>-181452</v>
      </c>
      <c r="K296" s="209">
        <v>0</v>
      </c>
      <c r="L296" s="209">
        <v>-2721242.58</v>
      </c>
      <c r="M296" s="209">
        <v>181452.42</v>
      </c>
      <c r="N296" s="242">
        <v>0.42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-4030352.55</v>
      </c>
      <c r="H297" s="239"/>
      <c r="I297" s="239"/>
      <c r="J297" s="210">
        <v>-287886</v>
      </c>
      <c r="K297" s="209">
        <v>0</v>
      </c>
      <c r="L297" s="209">
        <v>-4318238.55</v>
      </c>
      <c r="M297" s="209">
        <v>287886.25</v>
      </c>
      <c r="N297" s="242">
        <v>0.25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-2900692.89</v>
      </c>
      <c r="H298" s="239"/>
      <c r="I298" s="239"/>
      <c r="J298" s="210">
        <v>-207201</v>
      </c>
      <c r="K298" s="209">
        <v>0</v>
      </c>
      <c r="L298" s="209">
        <v>-3107893.89</v>
      </c>
      <c r="M298" s="209">
        <v>1243205.71</v>
      </c>
      <c r="N298" s="242">
        <v>1036004.71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-589817.52</v>
      </c>
      <c r="H299" s="239"/>
      <c r="I299" s="239"/>
      <c r="J299" s="210">
        <v>-42282</v>
      </c>
      <c r="K299" s="209">
        <v>0</v>
      </c>
      <c r="L299" s="209">
        <v>-632099.52</v>
      </c>
      <c r="M299" s="209">
        <v>42282.080000000002</v>
      </c>
      <c r="N299" s="242">
        <v>0.08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-422984.46</v>
      </c>
      <c r="H300" s="239"/>
      <c r="I300" s="239"/>
      <c r="J300" s="210">
        <v>-32538</v>
      </c>
      <c r="K300" s="209">
        <v>0</v>
      </c>
      <c r="L300" s="209">
        <v>-455522.46</v>
      </c>
      <c r="M300" s="209">
        <v>227765.54</v>
      </c>
      <c r="N300" s="242">
        <v>195227.54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-75388.259999999995</v>
      </c>
      <c r="H301" s="239"/>
      <c r="I301" s="239"/>
      <c r="J301" s="210">
        <v>-5981</v>
      </c>
      <c r="K301" s="209">
        <v>0</v>
      </c>
      <c r="L301" s="209">
        <v>-81369.259999999995</v>
      </c>
      <c r="M301" s="209">
        <v>43861.74</v>
      </c>
      <c r="N301" s="242">
        <v>37880.74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-1970097.14</v>
      </c>
      <c r="H302" s="239"/>
      <c r="I302" s="239"/>
      <c r="J302" s="210">
        <v>-164176</v>
      </c>
      <c r="K302" s="209">
        <v>0</v>
      </c>
      <c r="L302" s="209">
        <v>-2134273.14</v>
      </c>
      <c r="M302" s="209">
        <v>1313405.8600000001</v>
      </c>
      <c r="N302" s="242">
        <v>1149229.8600000001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-55106</v>
      </c>
      <c r="H304" s="239"/>
      <c r="I304" s="239"/>
      <c r="J304" s="210">
        <v>-6546</v>
      </c>
      <c r="K304" s="209">
        <v>0</v>
      </c>
      <c r="L304" s="209">
        <v>-61652</v>
      </c>
      <c r="M304" s="209">
        <v>43094</v>
      </c>
      <c r="N304" s="242">
        <v>36548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-1107236.93</v>
      </c>
      <c r="H305" s="239"/>
      <c r="I305" s="239"/>
      <c r="J305" s="210">
        <v>-7.0000000000000007E-2</v>
      </c>
      <c r="K305" s="209">
        <v>0</v>
      </c>
      <c r="L305" s="209">
        <v>-1107237</v>
      </c>
      <c r="M305" s="209">
        <v>7.0000000000000007E-2</v>
      </c>
      <c r="N305" s="242">
        <v>0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-18590293.890000001</v>
      </c>
      <c r="H306" s="244"/>
      <c r="I306" s="244"/>
      <c r="J306" s="208">
        <v>-1264416.07</v>
      </c>
      <c r="K306" s="207">
        <v>0</v>
      </c>
      <c r="L306" s="207">
        <v>-19854709.960000001</v>
      </c>
      <c r="M306" s="207">
        <v>5401076.0099999998</v>
      </c>
      <c r="N306" s="245">
        <v>4136659.94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-253101</v>
      </c>
      <c r="H311" s="239"/>
      <c r="I311" s="239"/>
      <c r="J311" s="210">
        <v>0</v>
      </c>
      <c r="K311" s="209">
        <v>0</v>
      </c>
      <c r="L311" s="209">
        <v>-253101</v>
      </c>
      <c r="M311" s="209">
        <v>0</v>
      </c>
      <c r="N311" s="242">
        <v>0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-300510.5</v>
      </c>
      <c r="H314" s="239"/>
      <c r="I314" s="239"/>
      <c r="J314" s="210">
        <v>0</v>
      </c>
      <c r="K314" s="209">
        <v>0</v>
      </c>
      <c r="L314" s="209">
        <v>-300510.5</v>
      </c>
      <c r="M314" s="209">
        <v>0</v>
      </c>
      <c r="N314" s="242">
        <v>0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-911136.8</v>
      </c>
      <c r="H315" s="239"/>
      <c r="I315" s="239"/>
      <c r="J315" s="210">
        <v>0</v>
      </c>
      <c r="K315" s="209">
        <v>0</v>
      </c>
      <c r="L315" s="209">
        <v>-911136.8</v>
      </c>
      <c r="M315" s="209">
        <v>0</v>
      </c>
      <c r="N315" s="242">
        <v>0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-14018558.199999999</v>
      </c>
      <c r="H316" s="244"/>
      <c r="I316" s="244"/>
      <c r="J316" s="208">
        <v>0</v>
      </c>
      <c r="K316" s="207">
        <v>0</v>
      </c>
      <c r="L316" s="207">
        <v>-14018558.199999999</v>
      </c>
      <c r="M316" s="207">
        <v>0.45</v>
      </c>
      <c r="N316" s="245">
        <v>0.45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-313654</v>
      </c>
      <c r="H334" s="239"/>
      <c r="I334" s="239"/>
      <c r="J334" s="210">
        <v>0</v>
      </c>
      <c r="K334" s="209">
        <v>0</v>
      </c>
      <c r="L334" s="209">
        <v>-313654</v>
      </c>
      <c r="M334" s="209">
        <v>0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-1244337</v>
      </c>
      <c r="H335" s="239"/>
      <c r="I335" s="239"/>
      <c r="J335" s="210">
        <v>0</v>
      </c>
      <c r="K335" s="209">
        <v>0</v>
      </c>
      <c r="L335" s="209">
        <v>-1244337</v>
      </c>
      <c r="M335" s="209">
        <v>0</v>
      </c>
      <c r="N335" s="242">
        <v>0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-994894.24</v>
      </c>
      <c r="H341" s="239"/>
      <c r="I341" s="239"/>
      <c r="J341" s="210">
        <v>-64555.76</v>
      </c>
      <c r="K341" s="209">
        <v>0</v>
      </c>
      <c r="L341" s="209">
        <v>-1059450</v>
      </c>
      <c r="M341" s="209">
        <v>64555.76</v>
      </c>
      <c r="N341" s="242">
        <v>0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-186493.04</v>
      </c>
      <c r="H342" s="239"/>
      <c r="I342" s="239"/>
      <c r="J342" s="210">
        <v>-13246</v>
      </c>
      <c r="K342" s="209">
        <v>0</v>
      </c>
      <c r="L342" s="209">
        <v>-199739.04</v>
      </c>
      <c r="M342" s="209">
        <v>78369.960000000006</v>
      </c>
      <c r="N342" s="242">
        <v>65123.96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-949602</v>
      </c>
      <c r="H353" s="239"/>
      <c r="I353" s="239"/>
      <c r="J353" s="210">
        <v>0</v>
      </c>
      <c r="K353" s="209">
        <v>0</v>
      </c>
      <c r="L353" s="209">
        <v>-949602</v>
      </c>
      <c r="M353" s="209">
        <v>0</v>
      </c>
      <c r="N353" s="242">
        <v>0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-321410.13</v>
      </c>
      <c r="H354" s="239"/>
      <c r="I354" s="239"/>
      <c r="J354" s="210">
        <v>-21044</v>
      </c>
      <c r="K354" s="209">
        <v>0</v>
      </c>
      <c r="L354" s="209">
        <v>-342454.13</v>
      </c>
      <c r="M354" s="209">
        <v>105222.87</v>
      </c>
      <c r="N354" s="242">
        <v>84178.87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-80000</v>
      </c>
      <c r="H357" s="239"/>
      <c r="I357" s="239"/>
      <c r="J357" s="210">
        <v>0</v>
      </c>
      <c r="K357" s="209">
        <v>0</v>
      </c>
      <c r="L357" s="209">
        <v>-80000</v>
      </c>
      <c r="M357" s="209">
        <v>0</v>
      </c>
      <c r="N357" s="242">
        <v>0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-77000</v>
      </c>
      <c r="H358" s="239"/>
      <c r="I358" s="239"/>
      <c r="J358" s="210">
        <v>0</v>
      </c>
      <c r="K358" s="209">
        <v>0</v>
      </c>
      <c r="L358" s="209">
        <v>-77000</v>
      </c>
      <c r="M358" s="209">
        <v>0</v>
      </c>
      <c r="N358" s="242">
        <v>0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-36712</v>
      </c>
      <c r="H359" s="239"/>
      <c r="I359" s="239"/>
      <c r="J359" s="210">
        <v>0</v>
      </c>
      <c r="K359" s="209">
        <v>0</v>
      </c>
      <c r="L359" s="209">
        <v>-36712</v>
      </c>
      <c r="M359" s="209">
        <v>0</v>
      </c>
      <c r="N359" s="242">
        <v>0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-24000</v>
      </c>
      <c r="H362" s="239"/>
      <c r="I362" s="239"/>
      <c r="J362" s="210">
        <v>0</v>
      </c>
      <c r="K362" s="209">
        <v>0</v>
      </c>
      <c r="L362" s="209">
        <v>-24000</v>
      </c>
      <c r="M362" s="209">
        <v>0</v>
      </c>
      <c r="N362" s="242">
        <v>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-3308560.5</v>
      </c>
      <c r="H365" s="239"/>
      <c r="I365" s="239"/>
      <c r="J365" s="210">
        <v>-248142</v>
      </c>
      <c r="K365" s="209">
        <v>0</v>
      </c>
      <c r="L365" s="209">
        <v>-3556702.5</v>
      </c>
      <c r="M365" s="209">
        <v>413569.5</v>
      </c>
      <c r="N365" s="242">
        <v>165427.5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-1736090.81</v>
      </c>
      <c r="H366" s="239"/>
      <c r="I366" s="239"/>
      <c r="J366" s="210">
        <v>-130206</v>
      </c>
      <c r="K366" s="209">
        <v>0</v>
      </c>
      <c r="L366" s="209">
        <v>-1866296.81</v>
      </c>
      <c r="M366" s="209">
        <v>217010.19</v>
      </c>
      <c r="N366" s="242">
        <v>86804.19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-798199.15</v>
      </c>
      <c r="H367" s="239"/>
      <c r="I367" s="239"/>
      <c r="J367" s="210">
        <v>-59864</v>
      </c>
      <c r="K367" s="209">
        <v>0</v>
      </c>
      <c r="L367" s="209">
        <v>-858063.15</v>
      </c>
      <c r="M367" s="209">
        <v>99772.85</v>
      </c>
      <c r="N367" s="242">
        <v>39908.85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-837710.39</v>
      </c>
      <c r="H368" s="239"/>
      <c r="I368" s="239"/>
      <c r="J368" s="210">
        <v>-62827</v>
      </c>
      <c r="K368" s="209">
        <v>0</v>
      </c>
      <c r="L368" s="209">
        <v>-900537.39</v>
      </c>
      <c r="M368" s="209">
        <v>104711.61</v>
      </c>
      <c r="N368" s="242">
        <v>41884.61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-434851.55</v>
      </c>
      <c r="H369" s="239"/>
      <c r="I369" s="239"/>
      <c r="J369" s="210">
        <v>-32612</v>
      </c>
      <c r="K369" s="209">
        <v>0</v>
      </c>
      <c r="L369" s="209">
        <v>-467463.55</v>
      </c>
      <c r="M369" s="209">
        <v>54354.45</v>
      </c>
      <c r="N369" s="242">
        <v>21742.45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-914028.2</v>
      </c>
      <c r="H370" s="239"/>
      <c r="I370" s="239"/>
      <c r="J370" s="210">
        <v>-68551</v>
      </c>
      <c r="K370" s="209">
        <v>0</v>
      </c>
      <c r="L370" s="209">
        <v>-982579.19999999995</v>
      </c>
      <c r="M370" s="209">
        <v>457005.8</v>
      </c>
      <c r="N370" s="242">
        <v>388454.8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-2267035.35</v>
      </c>
      <c r="H371" s="239"/>
      <c r="I371" s="239"/>
      <c r="J371" s="210">
        <v>-170028</v>
      </c>
      <c r="K371" s="209">
        <v>0</v>
      </c>
      <c r="L371" s="209">
        <v>-2437063.35</v>
      </c>
      <c r="M371" s="209">
        <v>283379.65000000002</v>
      </c>
      <c r="N371" s="242">
        <v>113351.65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-591816.65</v>
      </c>
      <c r="H372" s="239"/>
      <c r="I372" s="239"/>
      <c r="J372" s="210">
        <v>-44386</v>
      </c>
      <c r="K372" s="209">
        <v>0</v>
      </c>
      <c r="L372" s="209">
        <v>-636202.65</v>
      </c>
      <c r="M372" s="209">
        <v>739763.35</v>
      </c>
      <c r="N372" s="242">
        <v>695377.35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-721154.65</v>
      </c>
      <c r="H373" s="239"/>
      <c r="I373" s="239"/>
      <c r="J373" s="210">
        <v>-54088</v>
      </c>
      <c r="K373" s="209">
        <v>0</v>
      </c>
      <c r="L373" s="209">
        <v>-775242.65</v>
      </c>
      <c r="M373" s="209">
        <v>90146.35</v>
      </c>
      <c r="N373" s="242">
        <v>36058.35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-79700</v>
      </c>
      <c r="H375" s="239"/>
      <c r="I375" s="239"/>
      <c r="J375" s="210">
        <v>0</v>
      </c>
      <c r="K375" s="209">
        <v>0</v>
      </c>
      <c r="L375" s="209">
        <v>-79700</v>
      </c>
      <c r="M375" s="209">
        <v>0</v>
      </c>
      <c r="N375" s="242">
        <v>0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-90830</v>
      </c>
      <c r="H377" s="239"/>
      <c r="I377" s="239"/>
      <c r="J377" s="210">
        <v>0</v>
      </c>
      <c r="K377" s="209">
        <v>0</v>
      </c>
      <c r="L377" s="209">
        <v>-90830</v>
      </c>
      <c r="M377" s="209">
        <v>0</v>
      </c>
      <c r="N377" s="242">
        <v>0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-91450</v>
      </c>
      <c r="H383" s="239"/>
      <c r="I383" s="239"/>
      <c r="J383" s="210">
        <v>0</v>
      </c>
      <c r="K383" s="209">
        <v>0</v>
      </c>
      <c r="L383" s="209">
        <v>-91450</v>
      </c>
      <c r="M383" s="209">
        <v>0</v>
      </c>
      <c r="N383" s="242">
        <v>0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-194385.55</v>
      </c>
      <c r="H384" s="239"/>
      <c r="I384" s="239"/>
      <c r="J384" s="210">
        <v>0</v>
      </c>
      <c r="K384" s="209">
        <v>0</v>
      </c>
      <c r="L384" s="209">
        <v>-194385.55</v>
      </c>
      <c r="M384" s="209">
        <v>0</v>
      </c>
      <c r="N384" s="242">
        <v>0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-125000</v>
      </c>
      <c r="H385" s="239"/>
      <c r="I385" s="239"/>
      <c r="J385" s="210">
        <v>0</v>
      </c>
      <c r="K385" s="209">
        <v>0</v>
      </c>
      <c r="L385" s="209">
        <v>-125000</v>
      </c>
      <c r="M385" s="209">
        <v>0</v>
      </c>
      <c r="N385" s="242">
        <v>0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-303679.23</v>
      </c>
      <c r="H387" s="239"/>
      <c r="I387" s="239"/>
      <c r="J387" s="210">
        <v>0</v>
      </c>
      <c r="K387" s="209">
        <v>0</v>
      </c>
      <c r="L387" s="209">
        <v>-303679.23</v>
      </c>
      <c r="M387" s="209">
        <v>0</v>
      </c>
      <c r="N387" s="242">
        <v>0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-1005105</v>
      </c>
      <c r="H388" s="239"/>
      <c r="I388" s="239"/>
      <c r="J388" s="210">
        <v>0</v>
      </c>
      <c r="K388" s="209">
        <v>0</v>
      </c>
      <c r="L388" s="209">
        <v>-1005105</v>
      </c>
      <c r="M388" s="209">
        <v>0</v>
      </c>
      <c r="N388" s="242">
        <v>0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-51000</v>
      </c>
      <c r="H389" s="239"/>
      <c r="I389" s="239"/>
      <c r="J389" s="210">
        <v>0</v>
      </c>
      <c r="K389" s="209">
        <v>0</v>
      </c>
      <c r="L389" s="209">
        <v>-51000</v>
      </c>
      <c r="M389" s="209">
        <v>0</v>
      </c>
      <c r="N389" s="242">
        <v>0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-62564</v>
      </c>
      <c r="H390" s="239"/>
      <c r="I390" s="239"/>
      <c r="J390" s="210">
        <v>0</v>
      </c>
      <c r="K390" s="209">
        <v>0</v>
      </c>
      <c r="L390" s="209">
        <v>-62564</v>
      </c>
      <c r="M390" s="209">
        <v>0</v>
      </c>
      <c r="N390" s="242">
        <v>0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-334989.71999999997</v>
      </c>
      <c r="H391" s="239"/>
      <c r="I391" s="239"/>
      <c r="J391" s="210">
        <v>-25875</v>
      </c>
      <c r="K391" s="209">
        <v>0</v>
      </c>
      <c r="L391" s="209">
        <v>-360864.72</v>
      </c>
      <c r="M391" s="209">
        <v>51749.279999999999</v>
      </c>
      <c r="N391" s="242">
        <v>25874.28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-235868.56</v>
      </c>
      <c r="H392" s="239"/>
      <c r="I392" s="239"/>
      <c r="J392" s="210">
        <v>-18143</v>
      </c>
      <c r="K392" s="209">
        <v>0</v>
      </c>
      <c r="L392" s="209">
        <v>-254011.56</v>
      </c>
      <c r="M392" s="209">
        <v>308430.3</v>
      </c>
      <c r="N392" s="242">
        <v>290287.3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-593836.89</v>
      </c>
      <c r="H393" s="239"/>
      <c r="I393" s="239"/>
      <c r="J393" s="210">
        <v>-45664</v>
      </c>
      <c r="K393" s="209">
        <v>0</v>
      </c>
      <c r="L393" s="209">
        <v>-639500.89</v>
      </c>
      <c r="M393" s="209">
        <v>91327.45</v>
      </c>
      <c r="N393" s="242">
        <v>45663.45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-887017.89</v>
      </c>
      <c r="H394" s="239"/>
      <c r="I394" s="239"/>
      <c r="J394" s="210">
        <v>-68286</v>
      </c>
      <c r="K394" s="209">
        <v>0</v>
      </c>
      <c r="L394" s="209">
        <v>-955303.89</v>
      </c>
      <c r="M394" s="209">
        <v>136572.41</v>
      </c>
      <c r="N394" s="242">
        <v>68286.41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-1609303.76</v>
      </c>
      <c r="H395" s="239"/>
      <c r="I395" s="239"/>
      <c r="J395" s="210">
        <v>-123869</v>
      </c>
      <c r="K395" s="209">
        <v>0</v>
      </c>
      <c r="L395" s="209">
        <v>-1733172.76</v>
      </c>
      <c r="M395" s="209">
        <v>247738.58</v>
      </c>
      <c r="N395" s="242">
        <v>123869.58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-566182.43999999994</v>
      </c>
      <c r="H396" s="239"/>
      <c r="I396" s="239"/>
      <c r="J396" s="210">
        <v>-43554</v>
      </c>
      <c r="K396" s="209">
        <v>0</v>
      </c>
      <c r="L396" s="209">
        <v>-609736.43999999994</v>
      </c>
      <c r="M396" s="209">
        <v>740416.56</v>
      </c>
      <c r="N396" s="242">
        <v>696862.56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-128100</v>
      </c>
      <c r="H400" s="239"/>
      <c r="I400" s="239"/>
      <c r="J400" s="210">
        <v>0</v>
      </c>
      <c r="K400" s="209">
        <v>0</v>
      </c>
      <c r="L400" s="209">
        <v>-128100</v>
      </c>
      <c r="M400" s="209">
        <v>0</v>
      </c>
      <c r="N400" s="242">
        <v>0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-60000</v>
      </c>
      <c r="H402" s="239"/>
      <c r="I402" s="239"/>
      <c r="J402" s="210">
        <v>0</v>
      </c>
      <c r="K402" s="209">
        <v>0</v>
      </c>
      <c r="L402" s="209">
        <v>-60000</v>
      </c>
      <c r="M402" s="209">
        <v>0</v>
      </c>
      <c r="N402" s="242">
        <v>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-46624</v>
      </c>
      <c r="H403" s="239"/>
      <c r="I403" s="239"/>
      <c r="J403" s="210">
        <v>0</v>
      </c>
      <c r="K403" s="209">
        <v>0</v>
      </c>
      <c r="L403" s="209">
        <v>-46624</v>
      </c>
      <c r="M403" s="209">
        <v>0</v>
      </c>
      <c r="N403" s="242">
        <v>0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-364114.37</v>
      </c>
      <c r="H406" s="239"/>
      <c r="I406" s="239"/>
      <c r="J406" s="210">
        <v>-28937</v>
      </c>
      <c r="K406" s="209">
        <v>0</v>
      </c>
      <c r="L406" s="209">
        <v>-393051.37</v>
      </c>
      <c r="M406" s="209">
        <v>214620.63</v>
      </c>
      <c r="N406" s="242">
        <v>185683.63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-635746.86</v>
      </c>
      <c r="H407" s="239"/>
      <c r="I407" s="239"/>
      <c r="J407" s="210">
        <v>-50861</v>
      </c>
      <c r="K407" s="209">
        <v>0</v>
      </c>
      <c r="L407" s="209">
        <v>-686607.86</v>
      </c>
      <c r="M407" s="209">
        <v>127153.14</v>
      </c>
      <c r="N407" s="242">
        <v>76292.14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-43000</v>
      </c>
      <c r="H415" s="239"/>
      <c r="I415" s="239"/>
      <c r="J415" s="210">
        <v>0</v>
      </c>
      <c r="K415" s="209">
        <v>0</v>
      </c>
      <c r="L415" s="209">
        <v>-43000</v>
      </c>
      <c r="M415" s="209">
        <v>0</v>
      </c>
      <c r="N415" s="242">
        <v>0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-115523.97</v>
      </c>
      <c r="H417" s="239"/>
      <c r="I417" s="239"/>
      <c r="J417" s="210">
        <v>-9366</v>
      </c>
      <c r="K417" s="209">
        <v>0</v>
      </c>
      <c r="L417" s="209">
        <v>-124889.97</v>
      </c>
      <c r="M417" s="209">
        <v>24976.03</v>
      </c>
      <c r="N417" s="242">
        <v>15610.03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-403532.49</v>
      </c>
      <c r="H418" s="239"/>
      <c r="I418" s="239"/>
      <c r="J418" s="210">
        <v>0</v>
      </c>
      <c r="K418" s="209">
        <v>0</v>
      </c>
      <c r="L418" s="209">
        <v>-403532.49</v>
      </c>
      <c r="M418" s="209">
        <v>0</v>
      </c>
      <c r="N418" s="242">
        <v>0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-123702.99</v>
      </c>
      <c r="H420" s="239"/>
      <c r="I420" s="239"/>
      <c r="J420" s="210">
        <v>-10031</v>
      </c>
      <c r="K420" s="209">
        <v>0</v>
      </c>
      <c r="L420" s="209">
        <v>-133733.99</v>
      </c>
      <c r="M420" s="209">
        <v>76905.009999999995</v>
      </c>
      <c r="N420" s="242">
        <v>66874.009999999995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-250000</v>
      </c>
      <c r="H423" s="239"/>
      <c r="I423" s="239"/>
      <c r="J423" s="210">
        <v>0</v>
      </c>
      <c r="K423" s="209">
        <v>0</v>
      </c>
      <c r="L423" s="209">
        <v>-250000</v>
      </c>
      <c r="M423" s="209">
        <v>0</v>
      </c>
      <c r="N423" s="242">
        <v>0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-205000</v>
      </c>
      <c r="H424" s="239"/>
      <c r="I424" s="239"/>
      <c r="J424" s="210">
        <v>0</v>
      </c>
      <c r="K424" s="209">
        <v>0</v>
      </c>
      <c r="L424" s="209">
        <v>-205000</v>
      </c>
      <c r="M424" s="209">
        <v>0</v>
      </c>
      <c r="N424" s="242">
        <v>0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-56474.5</v>
      </c>
      <c r="H426" s="239"/>
      <c r="I426" s="239"/>
      <c r="J426" s="210">
        <v>0</v>
      </c>
      <c r="K426" s="209">
        <v>0</v>
      </c>
      <c r="L426" s="209">
        <v>-56474.5</v>
      </c>
      <c r="M426" s="209">
        <v>0</v>
      </c>
      <c r="N426" s="242">
        <v>0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-148295.29999999999</v>
      </c>
      <c r="H427" s="239"/>
      <c r="I427" s="239"/>
      <c r="J427" s="210">
        <v>-12271</v>
      </c>
      <c r="K427" s="209">
        <v>0</v>
      </c>
      <c r="L427" s="209">
        <v>-160566.29999999999</v>
      </c>
      <c r="M427" s="209">
        <v>35791.699999999997</v>
      </c>
      <c r="N427" s="242">
        <v>23520.7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-82085</v>
      </c>
      <c r="H428" s="239"/>
      <c r="I428" s="239"/>
      <c r="J428" s="210">
        <v>0</v>
      </c>
      <c r="K428" s="209">
        <v>0</v>
      </c>
      <c r="L428" s="209">
        <v>-82085</v>
      </c>
      <c r="M428" s="209">
        <v>0</v>
      </c>
      <c r="N428" s="242">
        <v>0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-30500</v>
      </c>
      <c r="H429" s="239"/>
      <c r="I429" s="239"/>
      <c r="J429" s="210">
        <v>0</v>
      </c>
      <c r="K429" s="209">
        <v>0</v>
      </c>
      <c r="L429" s="209">
        <v>-30500</v>
      </c>
      <c r="M429" s="209">
        <v>0</v>
      </c>
      <c r="N429" s="242">
        <v>0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-110000</v>
      </c>
      <c r="H430" s="239"/>
      <c r="I430" s="239"/>
      <c r="J430" s="210">
        <v>0</v>
      </c>
      <c r="K430" s="209">
        <v>0</v>
      </c>
      <c r="L430" s="209">
        <v>-110000</v>
      </c>
      <c r="M430" s="209">
        <v>0</v>
      </c>
      <c r="N430" s="242">
        <v>0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-46500</v>
      </c>
      <c r="H431" s="239"/>
      <c r="I431" s="239"/>
      <c r="J431" s="210">
        <v>0</v>
      </c>
      <c r="K431" s="209">
        <v>0</v>
      </c>
      <c r="L431" s="209">
        <v>-46500</v>
      </c>
      <c r="M431" s="209">
        <v>0</v>
      </c>
      <c r="N431" s="242">
        <v>0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-150489</v>
      </c>
      <c r="H432" s="239"/>
      <c r="I432" s="239"/>
      <c r="J432" s="210">
        <v>0</v>
      </c>
      <c r="K432" s="209">
        <v>0</v>
      </c>
      <c r="L432" s="209">
        <v>-150489</v>
      </c>
      <c r="M432" s="209">
        <v>0</v>
      </c>
      <c r="N432" s="242">
        <v>0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-579611.51</v>
      </c>
      <c r="H433" s="239"/>
      <c r="I433" s="239"/>
      <c r="J433" s="210">
        <v>-48302</v>
      </c>
      <c r="K433" s="209">
        <v>0</v>
      </c>
      <c r="L433" s="209">
        <v>-627913.51</v>
      </c>
      <c r="M433" s="209">
        <v>144904.49</v>
      </c>
      <c r="N433" s="242">
        <v>96602.49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-240069.15</v>
      </c>
      <c r="H435" s="239"/>
      <c r="I435" s="239"/>
      <c r="J435" s="210">
        <v>-20006</v>
      </c>
      <c r="K435" s="209">
        <v>0</v>
      </c>
      <c r="L435" s="209">
        <v>-260075.15</v>
      </c>
      <c r="M435" s="209">
        <v>60018.85</v>
      </c>
      <c r="N435" s="242">
        <v>40012.85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-53198.26</v>
      </c>
      <c r="H436" s="239"/>
      <c r="I436" s="239"/>
      <c r="J436" s="210">
        <v>-4434</v>
      </c>
      <c r="K436" s="209">
        <v>0</v>
      </c>
      <c r="L436" s="209">
        <v>-57632.26</v>
      </c>
      <c r="M436" s="209">
        <v>13301.74</v>
      </c>
      <c r="N436" s="242">
        <v>8867.74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-53198.26</v>
      </c>
      <c r="H437" s="239"/>
      <c r="I437" s="239"/>
      <c r="J437" s="210">
        <v>-4434</v>
      </c>
      <c r="K437" s="209">
        <v>0</v>
      </c>
      <c r="L437" s="209">
        <v>-57632.26</v>
      </c>
      <c r="M437" s="209">
        <v>13301.74</v>
      </c>
      <c r="N437" s="242">
        <v>8867.74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-53198.26</v>
      </c>
      <c r="H438" s="239"/>
      <c r="I438" s="239"/>
      <c r="J438" s="210">
        <v>-4434</v>
      </c>
      <c r="K438" s="209">
        <v>0</v>
      </c>
      <c r="L438" s="209">
        <v>-57632.26</v>
      </c>
      <c r="M438" s="209">
        <v>13301.74</v>
      </c>
      <c r="N438" s="242">
        <v>8867.74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-53198.26</v>
      </c>
      <c r="H439" s="239"/>
      <c r="I439" s="239"/>
      <c r="J439" s="210">
        <v>-4434</v>
      </c>
      <c r="K439" s="209">
        <v>0</v>
      </c>
      <c r="L439" s="209">
        <v>-57632.26</v>
      </c>
      <c r="M439" s="209">
        <v>13301.74</v>
      </c>
      <c r="N439" s="242">
        <v>8867.74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-53198.26</v>
      </c>
      <c r="H440" s="239"/>
      <c r="I440" s="239"/>
      <c r="J440" s="210">
        <v>-4434</v>
      </c>
      <c r="K440" s="209">
        <v>0</v>
      </c>
      <c r="L440" s="209">
        <v>-57632.26</v>
      </c>
      <c r="M440" s="209">
        <v>13301.74</v>
      </c>
      <c r="N440" s="242">
        <v>8867.74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-53198.26</v>
      </c>
      <c r="H441" s="239"/>
      <c r="I441" s="239"/>
      <c r="J441" s="210">
        <v>-4434</v>
      </c>
      <c r="K441" s="209">
        <v>0</v>
      </c>
      <c r="L441" s="209">
        <v>-57632.26</v>
      </c>
      <c r="M441" s="209">
        <v>13301.74</v>
      </c>
      <c r="N441" s="242">
        <v>8867.74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-53198.26</v>
      </c>
      <c r="H442" s="239"/>
      <c r="I442" s="239"/>
      <c r="J442" s="210">
        <v>-4434</v>
      </c>
      <c r="K442" s="209">
        <v>0</v>
      </c>
      <c r="L442" s="209">
        <v>-57632.26</v>
      </c>
      <c r="M442" s="209">
        <v>13301.74</v>
      </c>
      <c r="N442" s="242">
        <v>8867.74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-53198.26</v>
      </c>
      <c r="H443" s="239"/>
      <c r="I443" s="239"/>
      <c r="J443" s="210">
        <v>-4434</v>
      </c>
      <c r="K443" s="209">
        <v>0</v>
      </c>
      <c r="L443" s="209">
        <v>-57632.26</v>
      </c>
      <c r="M443" s="209">
        <v>13301.74</v>
      </c>
      <c r="N443" s="242">
        <v>8867.74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-252204.55</v>
      </c>
      <c r="H444" s="239"/>
      <c r="I444" s="239"/>
      <c r="J444" s="210">
        <v>-21018</v>
      </c>
      <c r="K444" s="209">
        <v>0</v>
      </c>
      <c r="L444" s="209">
        <v>-273222.55</v>
      </c>
      <c r="M444" s="209">
        <v>168144.45</v>
      </c>
      <c r="N444" s="242">
        <v>147126.45000000001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-68000</v>
      </c>
      <c r="H447" s="239"/>
      <c r="I447" s="239"/>
      <c r="J447" s="210">
        <v>0</v>
      </c>
      <c r="K447" s="209">
        <v>0</v>
      </c>
      <c r="L447" s="209">
        <v>-68000</v>
      </c>
      <c r="M447" s="209">
        <v>0</v>
      </c>
      <c r="N447" s="242">
        <v>0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-175100</v>
      </c>
      <c r="H450" s="239"/>
      <c r="I450" s="239"/>
      <c r="J450" s="210">
        <v>0</v>
      </c>
      <c r="K450" s="209">
        <v>0</v>
      </c>
      <c r="L450" s="209">
        <v>-175100</v>
      </c>
      <c r="M450" s="209">
        <v>0</v>
      </c>
      <c r="N450" s="242">
        <v>0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-75350</v>
      </c>
      <c r="H465" s="239"/>
      <c r="I465" s="239"/>
      <c r="J465" s="210">
        <v>0</v>
      </c>
      <c r="K465" s="209">
        <v>0</v>
      </c>
      <c r="L465" s="209">
        <v>-75350</v>
      </c>
      <c r="M465" s="209">
        <v>0</v>
      </c>
      <c r="N465" s="242">
        <v>0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-75350</v>
      </c>
      <c r="H466" s="239"/>
      <c r="I466" s="239"/>
      <c r="J466" s="210">
        <v>0</v>
      </c>
      <c r="K466" s="209">
        <v>0</v>
      </c>
      <c r="L466" s="209">
        <v>-75350</v>
      </c>
      <c r="M466" s="209">
        <v>0</v>
      </c>
      <c r="N466" s="242">
        <v>0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-75350</v>
      </c>
      <c r="H467" s="239"/>
      <c r="I467" s="239"/>
      <c r="J467" s="210">
        <v>0</v>
      </c>
      <c r="K467" s="209">
        <v>0</v>
      </c>
      <c r="L467" s="209">
        <v>-75350</v>
      </c>
      <c r="M467" s="209">
        <v>0</v>
      </c>
      <c r="N467" s="242">
        <v>0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-75350</v>
      </c>
      <c r="H468" s="239"/>
      <c r="I468" s="239"/>
      <c r="J468" s="210">
        <v>0</v>
      </c>
      <c r="K468" s="209">
        <v>0</v>
      </c>
      <c r="L468" s="209">
        <v>-75350</v>
      </c>
      <c r="M468" s="209">
        <v>0</v>
      </c>
      <c r="N468" s="242">
        <v>0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-76383</v>
      </c>
      <c r="H469" s="239"/>
      <c r="I469" s="239"/>
      <c r="J469" s="210">
        <v>0</v>
      </c>
      <c r="K469" s="209">
        <v>0</v>
      </c>
      <c r="L469" s="209">
        <v>-76383</v>
      </c>
      <c r="M469" s="209">
        <v>0</v>
      </c>
      <c r="N469" s="242">
        <v>0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-76383</v>
      </c>
      <c r="H470" s="239"/>
      <c r="I470" s="239"/>
      <c r="J470" s="210">
        <v>0</v>
      </c>
      <c r="K470" s="209">
        <v>0</v>
      </c>
      <c r="L470" s="209">
        <v>-76383</v>
      </c>
      <c r="M470" s="209">
        <v>0</v>
      </c>
      <c r="N470" s="242">
        <v>0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-76383</v>
      </c>
      <c r="H471" s="239"/>
      <c r="I471" s="239"/>
      <c r="J471" s="210">
        <v>0</v>
      </c>
      <c r="K471" s="209">
        <v>0</v>
      </c>
      <c r="L471" s="209">
        <v>-76383</v>
      </c>
      <c r="M471" s="209">
        <v>0</v>
      </c>
      <c r="N471" s="242">
        <v>0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-33519</v>
      </c>
      <c r="H473" s="239"/>
      <c r="I473" s="239"/>
      <c r="J473" s="210">
        <v>0</v>
      </c>
      <c r="K473" s="209">
        <v>0</v>
      </c>
      <c r="L473" s="209">
        <v>-33519</v>
      </c>
      <c r="M473" s="209">
        <v>0</v>
      </c>
      <c r="N473" s="242">
        <v>0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-150380.29</v>
      </c>
      <c r="H483" s="239"/>
      <c r="I483" s="239"/>
      <c r="J483" s="210">
        <v>-13672</v>
      </c>
      <c r="K483" s="209">
        <v>0</v>
      </c>
      <c r="L483" s="209">
        <v>-164052.29</v>
      </c>
      <c r="M483" s="209">
        <v>54687.71</v>
      </c>
      <c r="N483" s="242">
        <v>41015.71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-52832</v>
      </c>
      <c r="H484" s="239"/>
      <c r="I484" s="239"/>
      <c r="J484" s="210">
        <v>0</v>
      </c>
      <c r="K484" s="209">
        <v>0</v>
      </c>
      <c r="L484" s="209">
        <v>-52832</v>
      </c>
      <c r="M484" s="209">
        <v>0</v>
      </c>
      <c r="N484" s="242">
        <v>0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-45880.09</v>
      </c>
      <c r="H485" s="239"/>
      <c r="I485" s="239"/>
      <c r="J485" s="210">
        <v>-4170</v>
      </c>
      <c r="K485" s="209">
        <v>0</v>
      </c>
      <c r="L485" s="209">
        <v>-50050.09</v>
      </c>
      <c r="M485" s="209">
        <v>16679.91</v>
      </c>
      <c r="N485" s="242">
        <v>12509.91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-45880.09</v>
      </c>
      <c r="H486" s="239"/>
      <c r="I486" s="239"/>
      <c r="J486" s="210">
        <v>-4170</v>
      </c>
      <c r="K486" s="209">
        <v>0</v>
      </c>
      <c r="L486" s="209">
        <v>-50050.09</v>
      </c>
      <c r="M486" s="209">
        <v>16679.91</v>
      </c>
      <c r="N486" s="242">
        <v>12509.91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-45880.09</v>
      </c>
      <c r="H487" s="239"/>
      <c r="I487" s="239"/>
      <c r="J487" s="210">
        <v>-4170</v>
      </c>
      <c r="K487" s="209">
        <v>0</v>
      </c>
      <c r="L487" s="209">
        <v>-50050.09</v>
      </c>
      <c r="M487" s="209">
        <v>16679.91</v>
      </c>
      <c r="N487" s="242">
        <v>12509.91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-45880.09</v>
      </c>
      <c r="H488" s="239"/>
      <c r="I488" s="239"/>
      <c r="J488" s="210">
        <v>-4170</v>
      </c>
      <c r="K488" s="209">
        <v>0</v>
      </c>
      <c r="L488" s="209">
        <v>-50050.09</v>
      </c>
      <c r="M488" s="209">
        <v>16679.91</v>
      </c>
      <c r="N488" s="242">
        <v>12509.91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-45880.09</v>
      </c>
      <c r="H489" s="239"/>
      <c r="I489" s="239"/>
      <c r="J489" s="210">
        <v>-4170</v>
      </c>
      <c r="K489" s="209">
        <v>0</v>
      </c>
      <c r="L489" s="209">
        <v>-50050.09</v>
      </c>
      <c r="M489" s="209">
        <v>16679.91</v>
      </c>
      <c r="N489" s="242">
        <v>12509.91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-45880.09</v>
      </c>
      <c r="H490" s="239"/>
      <c r="I490" s="239"/>
      <c r="J490" s="210">
        <v>-4170</v>
      </c>
      <c r="K490" s="209">
        <v>0</v>
      </c>
      <c r="L490" s="209">
        <v>-50050.09</v>
      </c>
      <c r="M490" s="209">
        <v>16679.91</v>
      </c>
      <c r="N490" s="242">
        <v>12509.91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-45880.09</v>
      </c>
      <c r="H491" s="239"/>
      <c r="I491" s="239"/>
      <c r="J491" s="210">
        <v>-4170</v>
      </c>
      <c r="K491" s="209">
        <v>0</v>
      </c>
      <c r="L491" s="209">
        <v>-50050.09</v>
      </c>
      <c r="M491" s="209">
        <v>16679.91</v>
      </c>
      <c r="N491" s="242">
        <v>12509.91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-45880.09</v>
      </c>
      <c r="H492" s="239"/>
      <c r="I492" s="239"/>
      <c r="J492" s="210">
        <v>-4170</v>
      </c>
      <c r="K492" s="209">
        <v>0</v>
      </c>
      <c r="L492" s="209">
        <v>-50050.09</v>
      </c>
      <c r="M492" s="209">
        <v>16679.91</v>
      </c>
      <c r="N492" s="242">
        <v>12509.91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-45880.09</v>
      </c>
      <c r="H493" s="239"/>
      <c r="I493" s="239"/>
      <c r="J493" s="210">
        <v>-4170</v>
      </c>
      <c r="K493" s="209">
        <v>0</v>
      </c>
      <c r="L493" s="209">
        <v>-50050.09</v>
      </c>
      <c r="M493" s="209">
        <v>16679.91</v>
      </c>
      <c r="N493" s="242">
        <v>12509.91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-45880.09</v>
      </c>
      <c r="H494" s="239"/>
      <c r="I494" s="239"/>
      <c r="J494" s="210">
        <v>-4170</v>
      </c>
      <c r="K494" s="209">
        <v>0</v>
      </c>
      <c r="L494" s="209">
        <v>-50050.09</v>
      </c>
      <c r="M494" s="209">
        <v>16679.91</v>
      </c>
      <c r="N494" s="242">
        <v>12509.91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-45880.09</v>
      </c>
      <c r="H495" s="239"/>
      <c r="I495" s="239"/>
      <c r="J495" s="210">
        <v>-4170</v>
      </c>
      <c r="K495" s="209">
        <v>0</v>
      </c>
      <c r="L495" s="209">
        <v>-50050.09</v>
      </c>
      <c r="M495" s="209">
        <v>16679.91</v>
      </c>
      <c r="N495" s="242">
        <v>12509.91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-45880.09</v>
      </c>
      <c r="H496" s="239"/>
      <c r="I496" s="239"/>
      <c r="J496" s="210">
        <v>-4170</v>
      </c>
      <c r="K496" s="209">
        <v>0</v>
      </c>
      <c r="L496" s="209">
        <v>-50050.09</v>
      </c>
      <c r="M496" s="209">
        <v>16679.91</v>
      </c>
      <c r="N496" s="242">
        <v>12509.91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-45880.09</v>
      </c>
      <c r="H497" s="239"/>
      <c r="I497" s="239"/>
      <c r="J497" s="210">
        <v>-4170</v>
      </c>
      <c r="K497" s="209">
        <v>0</v>
      </c>
      <c r="L497" s="209">
        <v>-50050.09</v>
      </c>
      <c r="M497" s="209">
        <v>16679.91</v>
      </c>
      <c r="N497" s="242">
        <v>12509.91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-45880.09</v>
      </c>
      <c r="H498" s="239"/>
      <c r="I498" s="239"/>
      <c r="J498" s="210">
        <v>-4170</v>
      </c>
      <c r="K498" s="209">
        <v>0</v>
      </c>
      <c r="L498" s="209">
        <v>-50050.09</v>
      </c>
      <c r="M498" s="209">
        <v>16679.91</v>
      </c>
      <c r="N498" s="242">
        <v>12509.91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-175800</v>
      </c>
      <c r="H500" s="239"/>
      <c r="I500" s="239"/>
      <c r="J500" s="210">
        <v>0</v>
      </c>
      <c r="K500" s="209">
        <v>0</v>
      </c>
      <c r="L500" s="209">
        <v>-175800</v>
      </c>
      <c r="M500" s="209">
        <v>0</v>
      </c>
      <c r="N500" s="242">
        <v>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-413528.96</v>
      </c>
      <c r="H502" s="239"/>
      <c r="I502" s="239"/>
      <c r="J502" s="210">
        <v>-39090</v>
      </c>
      <c r="K502" s="209">
        <v>0</v>
      </c>
      <c r="L502" s="209">
        <v>-452618.96</v>
      </c>
      <c r="M502" s="209">
        <v>172647.85</v>
      </c>
      <c r="N502" s="242">
        <v>133557.85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-241598.45</v>
      </c>
      <c r="H503" s="239"/>
      <c r="I503" s="239"/>
      <c r="J503" s="210">
        <v>-18120</v>
      </c>
      <c r="K503" s="209">
        <v>0</v>
      </c>
      <c r="L503" s="209">
        <v>-259718.45</v>
      </c>
      <c r="M503" s="209">
        <v>30199.77</v>
      </c>
      <c r="N503" s="242">
        <v>12079.77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-86764.85</v>
      </c>
      <c r="H504" s="239"/>
      <c r="I504" s="239"/>
      <c r="J504" s="210">
        <v>0</v>
      </c>
      <c r="K504" s="209">
        <v>0</v>
      </c>
      <c r="L504" s="209">
        <v>-86764.85</v>
      </c>
      <c r="M504" s="209">
        <v>0</v>
      </c>
      <c r="N504" s="242">
        <v>0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-1000000</v>
      </c>
      <c r="H505" s="239"/>
      <c r="I505" s="239"/>
      <c r="J505" s="210">
        <v>0</v>
      </c>
      <c r="K505" s="209">
        <v>0</v>
      </c>
      <c r="L505" s="209">
        <v>-1000000</v>
      </c>
      <c r="M505" s="209">
        <v>0</v>
      </c>
      <c r="N505" s="242">
        <v>0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-259436</v>
      </c>
      <c r="H507" s="239"/>
      <c r="I507" s="239"/>
      <c r="J507" s="210">
        <v>0</v>
      </c>
      <c r="K507" s="209">
        <v>0</v>
      </c>
      <c r="L507" s="209">
        <v>-259436</v>
      </c>
      <c r="M507" s="209">
        <v>0</v>
      </c>
      <c r="N507" s="242">
        <v>0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-228654</v>
      </c>
      <c r="H509" s="239"/>
      <c r="I509" s="239"/>
      <c r="J509" s="210">
        <v>0</v>
      </c>
      <c r="K509" s="209">
        <v>0</v>
      </c>
      <c r="L509" s="209">
        <v>-228654</v>
      </c>
      <c r="M509" s="209">
        <v>0</v>
      </c>
      <c r="N509" s="242">
        <v>0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-260000</v>
      </c>
      <c r="H510" s="239"/>
      <c r="I510" s="239"/>
      <c r="J510" s="210">
        <v>0</v>
      </c>
      <c r="K510" s="209">
        <v>0</v>
      </c>
      <c r="L510" s="209">
        <v>-260000</v>
      </c>
      <c r="M510" s="209">
        <v>0</v>
      </c>
      <c r="N510" s="242">
        <v>0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-142269.65</v>
      </c>
      <c r="H513" s="239"/>
      <c r="I513" s="239"/>
      <c r="J513" s="210">
        <v>0</v>
      </c>
      <c r="K513" s="209">
        <v>0</v>
      </c>
      <c r="L513" s="209">
        <v>-142269.65</v>
      </c>
      <c r="M513" s="209">
        <v>0</v>
      </c>
      <c r="N513" s="242">
        <v>0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-22820.75</v>
      </c>
      <c r="H514" s="239"/>
      <c r="I514" s="239"/>
      <c r="J514" s="210">
        <v>0</v>
      </c>
      <c r="K514" s="209">
        <v>0</v>
      </c>
      <c r="L514" s="209">
        <v>-22820.75</v>
      </c>
      <c r="M514" s="209">
        <v>0</v>
      </c>
      <c r="N514" s="242">
        <v>0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-28030.66</v>
      </c>
      <c r="H515" s="239"/>
      <c r="I515" s="239"/>
      <c r="J515" s="210">
        <v>0</v>
      </c>
      <c r="K515" s="209">
        <v>0</v>
      </c>
      <c r="L515" s="209">
        <v>-28030.66</v>
      </c>
      <c r="M515" s="209">
        <v>0</v>
      </c>
      <c r="N515" s="242">
        <v>0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-45641.36</v>
      </c>
      <c r="H516" s="239"/>
      <c r="I516" s="239"/>
      <c r="J516" s="210">
        <v>0</v>
      </c>
      <c r="K516" s="209">
        <v>0</v>
      </c>
      <c r="L516" s="209">
        <v>-45641.36</v>
      </c>
      <c r="M516" s="209">
        <v>0</v>
      </c>
      <c r="N516" s="242">
        <v>0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-45069.48</v>
      </c>
      <c r="H517" s="239"/>
      <c r="I517" s="239"/>
      <c r="J517" s="210">
        <v>-4434</v>
      </c>
      <c r="K517" s="209">
        <v>0</v>
      </c>
      <c r="L517" s="209">
        <v>-49503.48</v>
      </c>
      <c r="M517" s="209">
        <v>21430.52</v>
      </c>
      <c r="N517" s="242">
        <v>16996.52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-45069.48</v>
      </c>
      <c r="H518" s="239"/>
      <c r="I518" s="239"/>
      <c r="J518" s="210">
        <v>-4434</v>
      </c>
      <c r="K518" s="209">
        <v>0</v>
      </c>
      <c r="L518" s="209">
        <v>-49503.48</v>
      </c>
      <c r="M518" s="209">
        <v>21430.52</v>
      </c>
      <c r="N518" s="242">
        <v>16996.52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-45069.48</v>
      </c>
      <c r="H519" s="239"/>
      <c r="I519" s="239"/>
      <c r="J519" s="210">
        <v>-4434</v>
      </c>
      <c r="K519" s="209">
        <v>0</v>
      </c>
      <c r="L519" s="209">
        <v>-49503.48</v>
      </c>
      <c r="M519" s="209">
        <v>21430.52</v>
      </c>
      <c r="N519" s="242">
        <v>16996.52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-45069.48</v>
      </c>
      <c r="H520" s="239"/>
      <c r="I520" s="239"/>
      <c r="J520" s="210">
        <v>-4434</v>
      </c>
      <c r="K520" s="209">
        <v>0</v>
      </c>
      <c r="L520" s="209">
        <v>-49503.48</v>
      </c>
      <c r="M520" s="209">
        <v>21430.52</v>
      </c>
      <c r="N520" s="242">
        <v>16996.52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-45069.48</v>
      </c>
      <c r="H521" s="239"/>
      <c r="I521" s="239"/>
      <c r="J521" s="210">
        <v>-4434</v>
      </c>
      <c r="K521" s="209">
        <v>0</v>
      </c>
      <c r="L521" s="209">
        <v>-49503.48</v>
      </c>
      <c r="M521" s="209">
        <v>21430.52</v>
      </c>
      <c r="N521" s="242">
        <v>16996.52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-215540.39</v>
      </c>
      <c r="H522" s="239"/>
      <c r="I522" s="239"/>
      <c r="J522" s="210">
        <v>-21199</v>
      </c>
      <c r="K522" s="209">
        <v>0</v>
      </c>
      <c r="L522" s="209">
        <v>-236739.39</v>
      </c>
      <c r="M522" s="209">
        <v>208459.61</v>
      </c>
      <c r="N522" s="242">
        <v>187260.61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-46050.96</v>
      </c>
      <c r="H523" s="239"/>
      <c r="I523" s="239"/>
      <c r="J523" s="210">
        <v>-4566</v>
      </c>
      <c r="K523" s="209">
        <v>0</v>
      </c>
      <c r="L523" s="209">
        <v>-50616.959999999999</v>
      </c>
      <c r="M523" s="209">
        <v>22449.040000000001</v>
      </c>
      <c r="N523" s="242">
        <v>17883.04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-46050.96</v>
      </c>
      <c r="H524" s="239"/>
      <c r="I524" s="239"/>
      <c r="J524" s="210">
        <v>-4566</v>
      </c>
      <c r="K524" s="209">
        <v>0</v>
      </c>
      <c r="L524" s="209">
        <v>-50616.959999999999</v>
      </c>
      <c r="M524" s="209">
        <v>22449.040000000001</v>
      </c>
      <c r="N524" s="242">
        <v>17883.04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-46050.96</v>
      </c>
      <c r="H525" s="239"/>
      <c r="I525" s="239"/>
      <c r="J525" s="210">
        <v>-4566</v>
      </c>
      <c r="K525" s="209">
        <v>0</v>
      </c>
      <c r="L525" s="209">
        <v>-50616.959999999999</v>
      </c>
      <c r="M525" s="209">
        <v>22449.040000000001</v>
      </c>
      <c r="N525" s="242">
        <v>17883.04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-46050.96</v>
      </c>
      <c r="H526" s="239"/>
      <c r="I526" s="239"/>
      <c r="J526" s="210">
        <v>-4566</v>
      </c>
      <c r="K526" s="209">
        <v>0</v>
      </c>
      <c r="L526" s="209">
        <v>-50616.959999999999</v>
      </c>
      <c r="M526" s="209">
        <v>22449.040000000001</v>
      </c>
      <c r="N526" s="242">
        <v>17883.04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-46050.96</v>
      </c>
      <c r="H527" s="239"/>
      <c r="I527" s="239"/>
      <c r="J527" s="210">
        <v>-4566</v>
      </c>
      <c r="K527" s="209">
        <v>0</v>
      </c>
      <c r="L527" s="209">
        <v>-50616.959999999999</v>
      </c>
      <c r="M527" s="209">
        <v>22449.040000000001</v>
      </c>
      <c r="N527" s="242">
        <v>17883.04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-46050.96</v>
      </c>
      <c r="H528" s="239"/>
      <c r="I528" s="239"/>
      <c r="J528" s="210">
        <v>-4566</v>
      </c>
      <c r="K528" s="209">
        <v>0</v>
      </c>
      <c r="L528" s="209">
        <v>-50616.959999999999</v>
      </c>
      <c r="M528" s="209">
        <v>22449.040000000001</v>
      </c>
      <c r="N528" s="242">
        <v>17883.04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-46050.96</v>
      </c>
      <c r="H529" s="239"/>
      <c r="I529" s="239"/>
      <c r="J529" s="210">
        <v>-4566</v>
      </c>
      <c r="K529" s="209">
        <v>0</v>
      </c>
      <c r="L529" s="209">
        <v>-50616.959999999999</v>
      </c>
      <c r="M529" s="209">
        <v>22449.040000000001</v>
      </c>
      <c r="N529" s="242">
        <v>17883.04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-46050.96</v>
      </c>
      <c r="H530" s="239"/>
      <c r="I530" s="239"/>
      <c r="J530" s="210">
        <v>-4566</v>
      </c>
      <c r="K530" s="209">
        <v>0</v>
      </c>
      <c r="L530" s="209">
        <v>-50616.959999999999</v>
      </c>
      <c r="M530" s="209">
        <v>22449.040000000001</v>
      </c>
      <c r="N530" s="242">
        <v>17883.04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-46050.96</v>
      </c>
      <c r="H531" s="239"/>
      <c r="I531" s="239"/>
      <c r="J531" s="210">
        <v>-4566</v>
      </c>
      <c r="K531" s="209">
        <v>0</v>
      </c>
      <c r="L531" s="209">
        <v>-50616.959999999999</v>
      </c>
      <c r="M531" s="209">
        <v>22449.040000000001</v>
      </c>
      <c r="N531" s="242">
        <v>17883.04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-46050.96</v>
      </c>
      <c r="H532" s="239"/>
      <c r="I532" s="239"/>
      <c r="J532" s="210">
        <v>-4566</v>
      </c>
      <c r="K532" s="209">
        <v>0</v>
      </c>
      <c r="L532" s="209">
        <v>-50616.959999999999</v>
      </c>
      <c r="M532" s="209">
        <v>22449.040000000001</v>
      </c>
      <c r="N532" s="242">
        <v>17883.04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-33200</v>
      </c>
      <c r="H534" s="239"/>
      <c r="I534" s="239"/>
      <c r="J534" s="210">
        <v>0</v>
      </c>
      <c r="K534" s="209">
        <v>0</v>
      </c>
      <c r="L534" s="209">
        <v>-33200</v>
      </c>
      <c r="M534" s="209">
        <v>0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-395675</v>
      </c>
      <c r="H535" s="239"/>
      <c r="I535" s="239"/>
      <c r="J535" s="210">
        <v>-3325</v>
      </c>
      <c r="K535" s="209">
        <v>0</v>
      </c>
      <c r="L535" s="209">
        <v>-399000</v>
      </c>
      <c r="M535" s="209">
        <v>3325</v>
      </c>
      <c r="N535" s="242">
        <v>0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-25275</v>
      </c>
      <c r="H536" s="239"/>
      <c r="I536" s="239"/>
      <c r="J536" s="210">
        <v>0</v>
      </c>
      <c r="K536" s="209">
        <v>0</v>
      </c>
      <c r="L536" s="209">
        <v>-25275</v>
      </c>
      <c r="M536" s="209">
        <v>0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-78161</v>
      </c>
      <c r="H537" s="239"/>
      <c r="I537" s="239"/>
      <c r="J537" s="210">
        <v>0</v>
      </c>
      <c r="K537" s="209">
        <v>0</v>
      </c>
      <c r="L537" s="209">
        <v>-78161</v>
      </c>
      <c r="M537" s="209">
        <v>0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-78500</v>
      </c>
      <c r="H538" s="239"/>
      <c r="I538" s="239"/>
      <c r="J538" s="210">
        <v>0</v>
      </c>
      <c r="K538" s="209">
        <v>0</v>
      </c>
      <c r="L538" s="209">
        <v>-78500</v>
      </c>
      <c r="M538" s="209">
        <v>0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-151973.99</v>
      </c>
      <c r="H539" s="239"/>
      <c r="I539" s="239"/>
      <c r="J539" s="210">
        <v>-7999.21</v>
      </c>
      <c r="K539" s="209">
        <v>0</v>
      </c>
      <c r="L539" s="209">
        <v>-159973.20000000001</v>
      </c>
      <c r="M539" s="209">
        <v>7999.21</v>
      </c>
      <c r="N539" s="242">
        <v>0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-43224.53</v>
      </c>
      <c r="H540" s="239"/>
      <c r="I540" s="239"/>
      <c r="J540" s="210">
        <v>-2275.4699999999998</v>
      </c>
      <c r="K540" s="209">
        <v>0</v>
      </c>
      <c r="L540" s="209">
        <v>-45500</v>
      </c>
      <c r="M540" s="209">
        <v>2275.4699999999998</v>
      </c>
      <c r="N540" s="242">
        <v>0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-71441.03</v>
      </c>
      <c r="H541" s="239"/>
      <c r="I541" s="239"/>
      <c r="J541" s="210">
        <v>-3758.97</v>
      </c>
      <c r="K541" s="209">
        <v>0</v>
      </c>
      <c r="L541" s="209">
        <v>-75200</v>
      </c>
      <c r="M541" s="209">
        <v>3758.97</v>
      </c>
      <c r="N541" s="242">
        <v>0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-71100</v>
      </c>
      <c r="H542" s="239"/>
      <c r="I542" s="239"/>
      <c r="J542" s="210">
        <v>0</v>
      </c>
      <c r="K542" s="209">
        <v>0</v>
      </c>
      <c r="L542" s="209">
        <v>-71100</v>
      </c>
      <c r="M542" s="209">
        <v>0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-35550</v>
      </c>
      <c r="H543" s="239"/>
      <c r="I543" s="239"/>
      <c r="J543" s="210">
        <v>0</v>
      </c>
      <c r="K543" s="209">
        <v>0</v>
      </c>
      <c r="L543" s="209">
        <v>-35550</v>
      </c>
      <c r="M543" s="209">
        <v>0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-35550</v>
      </c>
      <c r="H544" s="239"/>
      <c r="I544" s="239"/>
      <c r="J544" s="210">
        <v>0</v>
      </c>
      <c r="K544" s="209">
        <v>0</v>
      </c>
      <c r="L544" s="209">
        <v>-35550</v>
      </c>
      <c r="M544" s="209">
        <v>0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-41400</v>
      </c>
      <c r="H545" s="239"/>
      <c r="I545" s="239"/>
      <c r="J545" s="210">
        <v>0</v>
      </c>
      <c r="K545" s="209">
        <v>0</v>
      </c>
      <c r="L545" s="209">
        <v>-41400</v>
      </c>
      <c r="M545" s="209">
        <v>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-174447</v>
      </c>
      <c r="H546" s="239"/>
      <c r="I546" s="239"/>
      <c r="J546" s="210">
        <v>0</v>
      </c>
      <c r="K546" s="209">
        <v>0</v>
      </c>
      <c r="L546" s="209">
        <v>-174447</v>
      </c>
      <c r="M546" s="209">
        <v>0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-189600</v>
      </c>
      <c r="H586" s="239"/>
      <c r="I586" s="239"/>
      <c r="J586" s="210">
        <v>0</v>
      </c>
      <c r="K586" s="209">
        <v>0</v>
      </c>
      <c r="L586" s="209">
        <v>-189600</v>
      </c>
      <c r="M586" s="209">
        <v>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-542510.68999999994</v>
      </c>
      <c r="H587" s="239"/>
      <c r="I587" s="239"/>
      <c r="J587" s="210">
        <v>0</v>
      </c>
      <c r="K587" s="209">
        <v>0</v>
      </c>
      <c r="L587" s="209">
        <v>-542510.68999999994</v>
      </c>
      <c r="M587" s="209">
        <v>0</v>
      </c>
      <c r="N587" s="242">
        <v>0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-442842.32</v>
      </c>
      <c r="H588" s="239"/>
      <c r="I588" s="239"/>
      <c r="J588" s="210">
        <v>-49206</v>
      </c>
      <c r="K588" s="209">
        <v>0</v>
      </c>
      <c r="L588" s="209">
        <v>-492048.32</v>
      </c>
      <c r="M588" s="209">
        <v>295236.40999999997</v>
      </c>
      <c r="N588" s="242">
        <v>246030.41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-128215</v>
      </c>
      <c r="H589" s="239"/>
      <c r="I589" s="239"/>
      <c r="J589" s="210">
        <v>0</v>
      </c>
      <c r="K589" s="209">
        <v>0</v>
      </c>
      <c r="L589" s="209">
        <v>-128215</v>
      </c>
      <c r="M589" s="209">
        <v>0</v>
      </c>
      <c r="N589" s="242">
        <v>0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-9071.1200000000008</v>
      </c>
      <c r="H590" s="239"/>
      <c r="I590" s="239"/>
      <c r="J590" s="210">
        <v>0</v>
      </c>
      <c r="K590" s="209">
        <v>0</v>
      </c>
      <c r="L590" s="209">
        <v>-9071.1200000000008</v>
      </c>
      <c r="M590" s="209">
        <v>0</v>
      </c>
      <c r="N590" s="242">
        <v>0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-26512.98</v>
      </c>
      <c r="H591" s="239"/>
      <c r="I591" s="239"/>
      <c r="J591" s="210">
        <v>0</v>
      </c>
      <c r="K591" s="209">
        <v>0</v>
      </c>
      <c r="L591" s="209">
        <v>-26512.98</v>
      </c>
      <c r="M591" s="209">
        <v>0</v>
      </c>
      <c r="N591" s="242">
        <v>0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-65900</v>
      </c>
      <c r="H592" s="239"/>
      <c r="I592" s="239"/>
      <c r="J592" s="210">
        <v>0</v>
      </c>
      <c r="K592" s="209">
        <v>0</v>
      </c>
      <c r="L592" s="209">
        <v>-65900</v>
      </c>
      <c r="M592" s="209">
        <v>0</v>
      </c>
      <c r="N592" s="242">
        <v>0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-39502.5</v>
      </c>
      <c r="H593" s="239"/>
      <c r="I593" s="239"/>
      <c r="J593" s="210">
        <v>0</v>
      </c>
      <c r="K593" s="209">
        <v>0</v>
      </c>
      <c r="L593" s="209">
        <v>-39502.5</v>
      </c>
      <c r="M593" s="209">
        <v>0</v>
      </c>
      <c r="N593" s="242">
        <v>0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-233283</v>
      </c>
      <c r="H594" s="239"/>
      <c r="I594" s="239"/>
      <c r="J594" s="210">
        <v>-27716</v>
      </c>
      <c r="K594" s="209">
        <v>0</v>
      </c>
      <c r="L594" s="209">
        <v>-260999</v>
      </c>
      <c r="M594" s="209">
        <v>43883</v>
      </c>
      <c r="N594" s="242">
        <v>16167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-82545</v>
      </c>
      <c r="H595" s="239"/>
      <c r="I595" s="239"/>
      <c r="J595" s="210">
        <v>0</v>
      </c>
      <c r="K595" s="209">
        <v>0</v>
      </c>
      <c r="L595" s="209">
        <v>-82545</v>
      </c>
      <c r="M595" s="209">
        <v>0</v>
      </c>
      <c r="N595" s="242">
        <v>0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-494395</v>
      </c>
      <c r="H596" s="239"/>
      <c r="I596" s="239"/>
      <c r="J596" s="210">
        <v>-58740</v>
      </c>
      <c r="K596" s="209">
        <v>0</v>
      </c>
      <c r="L596" s="209">
        <v>-553135</v>
      </c>
      <c r="M596" s="209">
        <v>93005</v>
      </c>
      <c r="N596" s="242">
        <v>34265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-205400</v>
      </c>
      <c r="H597" s="239"/>
      <c r="I597" s="239"/>
      <c r="J597" s="210">
        <v>0</v>
      </c>
      <c r="K597" s="209">
        <v>0</v>
      </c>
      <c r="L597" s="209">
        <v>-205400</v>
      </c>
      <c r="M597" s="209">
        <v>0</v>
      </c>
      <c r="N597" s="242">
        <v>0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-89527</v>
      </c>
      <c r="H598" s="239"/>
      <c r="I598" s="239"/>
      <c r="J598" s="210">
        <v>-10745</v>
      </c>
      <c r="K598" s="209">
        <v>0</v>
      </c>
      <c r="L598" s="209">
        <v>-100272</v>
      </c>
      <c r="M598" s="209">
        <v>71630.5</v>
      </c>
      <c r="N598" s="242">
        <v>60885.5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-89527</v>
      </c>
      <c r="H599" s="239"/>
      <c r="I599" s="239"/>
      <c r="J599" s="210">
        <v>-10745</v>
      </c>
      <c r="K599" s="209">
        <v>0</v>
      </c>
      <c r="L599" s="209">
        <v>-100272</v>
      </c>
      <c r="M599" s="209">
        <v>71630.5</v>
      </c>
      <c r="N599" s="242">
        <v>60885.5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-89527</v>
      </c>
      <c r="H600" s="239"/>
      <c r="I600" s="239"/>
      <c r="J600" s="210">
        <v>-10745</v>
      </c>
      <c r="K600" s="209">
        <v>0</v>
      </c>
      <c r="L600" s="209">
        <v>-100272</v>
      </c>
      <c r="M600" s="209">
        <v>71630.5</v>
      </c>
      <c r="N600" s="242">
        <v>60885.5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-89527</v>
      </c>
      <c r="H601" s="239"/>
      <c r="I601" s="239"/>
      <c r="J601" s="210">
        <v>-10745</v>
      </c>
      <c r="K601" s="209">
        <v>0</v>
      </c>
      <c r="L601" s="209">
        <v>-100272</v>
      </c>
      <c r="M601" s="209">
        <v>71630.5</v>
      </c>
      <c r="N601" s="242">
        <v>60885.5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-89527</v>
      </c>
      <c r="H602" s="239"/>
      <c r="I602" s="239"/>
      <c r="J602" s="210">
        <v>-10745</v>
      </c>
      <c r="K602" s="209">
        <v>0</v>
      </c>
      <c r="L602" s="209">
        <v>-100272</v>
      </c>
      <c r="M602" s="209">
        <v>71630.5</v>
      </c>
      <c r="N602" s="242">
        <v>60885.5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-89527</v>
      </c>
      <c r="H603" s="239"/>
      <c r="I603" s="239"/>
      <c r="J603" s="210">
        <v>-10745</v>
      </c>
      <c r="K603" s="209">
        <v>0</v>
      </c>
      <c r="L603" s="209">
        <v>-100272</v>
      </c>
      <c r="M603" s="209">
        <v>71630.5</v>
      </c>
      <c r="N603" s="242">
        <v>60885.5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-89527</v>
      </c>
      <c r="H604" s="239"/>
      <c r="I604" s="239"/>
      <c r="J604" s="210">
        <v>-10745</v>
      </c>
      <c r="K604" s="209">
        <v>0</v>
      </c>
      <c r="L604" s="209">
        <v>-100272</v>
      </c>
      <c r="M604" s="209">
        <v>71630.5</v>
      </c>
      <c r="N604" s="242">
        <v>60885.5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-89527</v>
      </c>
      <c r="H605" s="239"/>
      <c r="I605" s="239"/>
      <c r="J605" s="210">
        <v>-10745</v>
      </c>
      <c r="K605" s="209">
        <v>0</v>
      </c>
      <c r="L605" s="209">
        <v>-100272</v>
      </c>
      <c r="M605" s="209">
        <v>71630.5</v>
      </c>
      <c r="N605" s="242">
        <v>60885.5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-1753266</v>
      </c>
      <c r="H606" s="239"/>
      <c r="I606" s="239"/>
      <c r="J606" s="210">
        <v>-214686</v>
      </c>
      <c r="K606" s="209">
        <v>0</v>
      </c>
      <c r="L606" s="209">
        <v>-1967952</v>
      </c>
      <c r="M606" s="209">
        <v>1467021.21</v>
      </c>
      <c r="N606" s="242">
        <v>1252335.21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-40696</v>
      </c>
      <c r="H607" s="239"/>
      <c r="I607" s="239"/>
      <c r="J607" s="210">
        <v>0</v>
      </c>
      <c r="K607" s="209">
        <v>0</v>
      </c>
      <c r="L607" s="209">
        <v>-40696</v>
      </c>
      <c r="M607" s="209">
        <v>0</v>
      </c>
      <c r="N607" s="242">
        <v>0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-143509</v>
      </c>
      <c r="H608" s="239"/>
      <c r="I608" s="239"/>
      <c r="J608" s="210">
        <v>-17754</v>
      </c>
      <c r="K608" s="209">
        <v>0</v>
      </c>
      <c r="L608" s="209">
        <v>-161263</v>
      </c>
      <c r="M608" s="209">
        <v>34028.629999999997</v>
      </c>
      <c r="N608" s="242">
        <v>16274.63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-96000</v>
      </c>
      <c r="H609" s="239"/>
      <c r="I609" s="239"/>
      <c r="J609" s="210">
        <v>0</v>
      </c>
      <c r="K609" s="209">
        <v>0</v>
      </c>
      <c r="L609" s="209">
        <v>-96000</v>
      </c>
      <c r="M609" s="209">
        <v>0</v>
      </c>
      <c r="N609" s="242">
        <v>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-221966</v>
      </c>
      <c r="H610" s="239"/>
      <c r="I610" s="239"/>
      <c r="J610" s="210">
        <v>-27461</v>
      </c>
      <c r="K610" s="209">
        <v>0</v>
      </c>
      <c r="L610" s="209">
        <v>-249427</v>
      </c>
      <c r="M610" s="209">
        <v>52634</v>
      </c>
      <c r="N610" s="242">
        <v>25173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-545381</v>
      </c>
      <c r="H611" s="239"/>
      <c r="I611" s="239"/>
      <c r="J611" s="210">
        <v>0</v>
      </c>
      <c r="K611" s="209">
        <v>0</v>
      </c>
      <c r="L611" s="209">
        <v>-545381</v>
      </c>
      <c r="M611" s="209">
        <v>0</v>
      </c>
      <c r="N611" s="242">
        <v>0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-259424</v>
      </c>
      <c r="H612" s="239"/>
      <c r="I612" s="239"/>
      <c r="J612" s="210">
        <v>-32094</v>
      </c>
      <c r="K612" s="209">
        <v>0</v>
      </c>
      <c r="L612" s="209">
        <v>-291518</v>
      </c>
      <c r="M612" s="209">
        <v>61513.43</v>
      </c>
      <c r="N612" s="242">
        <v>29419.43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-259998</v>
      </c>
      <c r="H613" s="239"/>
      <c r="I613" s="239"/>
      <c r="J613" s="210">
        <v>-32501</v>
      </c>
      <c r="K613" s="209">
        <v>0</v>
      </c>
      <c r="L613" s="209">
        <v>-292499</v>
      </c>
      <c r="M613" s="209">
        <v>65002</v>
      </c>
      <c r="N613" s="242">
        <v>32501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-155000</v>
      </c>
      <c r="H614" s="239"/>
      <c r="I614" s="239"/>
      <c r="J614" s="210">
        <v>0</v>
      </c>
      <c r="K614" s="209">
        <v>0</v>
      </c>
      <c r="L614" s="209">
        <v>-155000</v>
      </c>
      <c r="M614" s="209">
        <v>0</v>
      </c>
      <c r="N614" s="242">
        <v>0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-76330.42</v>
      </c>
      <c r="H615" s="239"/>
      <c r="I615" s="239"/>
      <c r="J615" s="210">
        <v>0</v>
      </c>
      <c r="K615" s="209">
        <v>0</v>
      </c>
      <c r="L615" s="209">
        <v>-76330.42</v>
      </c>
      <c r="M615" s="209">
        <v>0</v>
      </c>
      <c r="N615" s="242">
        <v>0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-92500</v>
      </c>
      <c r="H616" s="239"/>
      <c r="I616" s="239"/>
      <c r="J616" s="210">
        <v>0</v>
      </c>
      <c r="K616" s="209">
        <v>0</v>
      </c>
      <c r="L616" s="209">
        <v>-92500</v>
      </c>
      <c r="M616" s="209">
        <v>0</v>
      </c>
      <c r="N616" s="242">
        <v>0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-91896</v>
      </c>
      <c r="H617" s="239"/>
      <c r="I617" s="239"/>
      <c r="J617" s="210">
        <v>-11488</v>
      </c>
      <c r="K617" s="209">
        <v>0</v>
      </c>
      <c r="L617" s="209">
        <v>-103384</v>
      </c>
      <c r="M617" s="209">
        <v>80415.5</v>
      </c>
      <c r="N617" s="242">
        <v>68927.5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-475890</v>
      </c>
      <c r="H618" s="239"/>
      <c r="I618" s="239"/>
      <c r="J618" s="210">
        <v>-59487</v>
      </c>
      <c r="K618" s="209">
        <v>0</v>
      </c>
      <c r="L618" s="209">
        <v>-535377</v>
      </c>
      <c r="M618" s="209">
        <v>118974</v>
      </c>
      <c r="N618" s="242">
        <v>59487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-83930</v>
      </c>
      <c r="H619" s="239"/>
      <c r="I619" s="239"/>
      <c r="J619" s="210">
        <v>-10493</v>
      </c>
      <c r="K619" s="209">
        <v>0</v>
      </c>
      <c r="L619" s="209">
        <v>-94423</v>
      </c>
      <c r="M619" s="209">
        <v>20985</v>
      </c>
      <c r="N619" s="242">
        <v>10492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-80722</v>
      </c>
      <c r="H620" s="239"/>
      <c r="I620" s="239"/>
      <c r="J620" s="210">
        <v>-10089</v>
      </c>
      <c r="K620" s="209">
        <v>0</v>
      </c>
      <c r="L620" s="209">
        <v>-90811</v>
      </c>
      <c r="M620" s="209">
        <v>20179</v>
      </c>
      <c r="N620" s="242">
        <v>10090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-280320</v>
      </c>
      <c r="H621" s="239"/>
      <c r="I621" s="239"/>
      <c r="J621" s="210">
        <v>-35040</v>
      </c>
      <c r="K621" s="209">
        <v>0</v>
      </c>
      <c r="L621" s="209">
        <v>-315360</v>
      </c>
      <c r="M621" s="209">
        <v>245280</v>
      </c>
      <c r="N621" s="242">
        <v>210240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-2170133</v>
      </c>
      <c r="H622" s="239"/>
      <c r="I622" s="239"/>
      <c r="J622" s="210">
        <v>-271266</v>
      </c>
      <c r="K622" s="209">
        <v>0</v>
      </c>
      <c r="L622" s="209">
        <v>-2441399</v>
      </c>
      <c r="M622" s="209">
        <v>542532.38</v>
      </c>
      <c r="N622" s="242">
        <v>271266.38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-157837</v>
      </c>
      <c r="H623" s="239"/>
      <c r="I623" s="239"/>
      <c r="J623" s="210">
        <v>-20366</v>
      </c>
      <c r="K623" s="209">
        <v>0</v>
      </c>
      <c r="L623" s="209">
        <v>-178203</v>
      </c>
      <c r="M623" s="209">
        <v>45824.55</v>
      </c>
      <c r="N623" s="242">
        <v>25458.55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-516080</v>
      </c>
      <c r="H624" s="239"/>
      <c r="I624" s="239"/>
      <c r="J624" s="210">
        <v>-66592</v>
      </c>
      <c r="K624" s="209">
        <v>0</v>
      </c>
      <c r="L624" s="209">
        <v>-582672</v>
      </c>
      <c r="M624" s="209">
        <v>482790.5</v>
      </c>
      <c r="N624" s="242">
        <v>416198.5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-91090</v>
      </c>
      <c r="H625" s="239"/>
      <c r="I625" s="239"/>
      <c r="J625" s="210">
        <v>0</v>
      </c>
      <c r="K625" s="209">
        <v>0</v>
      </c>
      <c r="L625" s="209">
        <v>-91090</v>
      </c>
      <c r="M625" s="209">
        <v>0</v>
      </c>
      <c r="N625" s="242">
        <v>0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-315000</v>
      </c>
      <c r="H626" s="239"/>
      <c r="I626" s="239"/>
      <c r="J626" s="210">
        <v>0</v>
      </c>
      <c r="K626" s="209">
        <v>0</v>
      </c>
      <c r="L626" s="209">
        <v>-315000</v>
      </c>
      <c r="M626" s="209">
        <v>0</v>
      </c>
      <c r="N626" s="242">
        <v>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-318995</v>
      </c>
      <c r="H627" s="239"/>
      <c r="I627" s="239"/>
      <c r="J627" s="210">
        <v>-44511</v>
      </c>
      <c r="K627" s="209">
        <v>0</v>
      </c>
      <c r="L627" s="209">
        <v>-363506</v>
      </c>
      <c r="M627" s="209">
        <v>348673</v>
      </c>
      <c r="N627" s="242">
        <v>304162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-387689</v>
      </c>
      <c r="H628" s="239"/>
      <c r="I628" s="239"/>
      <c r="J628" s="210">
        <v>-54096</v>
      </c>
      <c r="K628" s="209">
        <v>0</v>
      </c>
      <c r="L628" s="209">
        <v>-441785</v>
      </c>
      <c r="M628" s="209">
        <v>423753.7</v>
      </c>
      <c r="N628" s="242">
        <v>369657.7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-40884</v>
      </c>
      <c r="H629" s="239"/>
      <c r="I629" s="239"/>
      <c r="J629" s="210">
        <v>0</v>
      </c>
      <c r="K629" s="209">
        <v>0</v>
      </c>
      <c r="L629" s="209">
        <v>-40884</v>
      </c>
      <c r="M629" s="209">
        <v>0</v>
      </c>
      <c r="N629" s="242">
        <v>0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-33480</v>
      </c>
      <c r="H630" s="239"/>
      <c r="I630" s="239"/>
      <c r="J630" s="210">
        <v>0</v>
      </c>
      <c r="K630" s="209">
        <v>0</v>
      </c>
      <c r="L630" s="209">
        <v>-33480</v>
      </c>
      <c r="M630" s="209">
        <v>0</v>
      </c>
      <c r="N630" s="242">
        <v>0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-58648.75</v>
      </c>
      <c r="H631" s="239"/>
      <c r="I631" s="239"/>
      <c r="J631" s="210">
        <v>0</v>
      </c>
      <c r="K631" s="209">
        <v>0</v>
      </c>
      <c r="L631" s="209">
        <v>-58648.75</v>
      </c>
      <c r="M631" s="209">
        <v>0</v>
      </c>
      <c r="N631" s="242">
        <v>0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-157169</v>
      </c>
      <c r="H632" s="239"/>
      <c r="I632" s="239"/>
      <c r="J632" s="210">
        <v>-22189</v>
      </c>
      <c r="K632" s="209">
        <v>0</v>
      </c>
      <c r="L632" s="209">
        <v>-179358</v>
      </c>
      <c r="M632" s="209">
        <v>175660.6</v>
      </c>
      <c r="N632" s="242">
        <v>153471.6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-992768</v>
      </c>
      <c r="H633" s="239"/>
      <c r="I633" s="239"/>
      <c r="J633" s="210">
        <v>-140155</v>
      </c>
      <c r="K633" s="209">
        <v>0</v>
      </c>
      <c r="L633" s="209">
        <v>-1132923</v>
      </c>
      <c r="M633" s="209">
        <v>1109559</v>
      </c>
      <c r="N633" s="242">
        <v>969404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-385779</v>
      </c>
      <c r="H634" s="239"/>
      <c r="I634" s="239"/>
      <c r="J634" s="210">
        <v>-54462</v>
      </c>
      <c r="K634" s="209">
        <v>0</v>
      </c>
      <c r="L634" s="209">
        <v>-440241</v>
      </c>
      <c r="M634" s="209">
        <v>431158</v>
      </c>
      <c r="N634" s="242">
        <v>376696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-240647</v>
      </c>
      <c r="H635" s="239"/>
      <c r="I635" s="239"/>
      <c r="J635" s="210">
        <v>-33974</v>
      </c>
      <c r="K635" s="209">
        <v>0</v>
      </c>
      <c r="L635" s="209">
        <v>-274621</v>
      </c>
      <c r="M635" s="209">
        <v>268961</v>
      </c>
      <c r="N635" s="242">
        <v>234987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-197869</v>
      </c>
      <c r="H636" s="239"/>
      <c r="I636" s="239"/>
      <c r="J636" s="210">
        <v>-27935</v>
      </c>
      <c r="K636" s="209">
        <v>0</v>
      </c>
      <c r="L636" s="209">
        <v>-225804</v>
      </c>
      <c r="M636" s="209">
        <v>221146.67</v>
      </c>
      <c r="N636" s="242">
        <v>193211.67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-136624.75</v>
      </c>
      <c r="H637" s="239"/>
      <c r="I637" s="239"/>
      <c r="J637" s="210">
        <v>0</v>
      </c>
      <c r="K637" s="209">
        <v>0</v>
      </c>
      <c r="L637" s="209">
        <v>-136624.75</v>
      </c>
      <c r="M637" s="209">
        <v>0</v>
      </c>
      <c r="N637" s="242">
        <v>0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-226732</v>
      </c>
      <c r="H638" s="239"/>
      <c r="I638" s="239"/>
      <c r="J638" s="210">
        <v>-32391</v>
      </c>
      <c r="K638" s="209">
        <v>0</v>
      </c>
      <c r="L638" s="209">
        <v>-259123</v>
      </c>
      <c r="M638" s="209">
        <v>97172</v>
      </c>
      <c r="N638" s="242">
        <v>64781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-919332</v>
      </c>
      <c r="H639" s="239"/>
      <c r="I639" s="239"/>
      <c r="J639" s="210">
        <v>-131334</v>
      </c>
      <c r="K639" s="209">
        <v>0</v>
      </c>
      <c r="L639" s="209">
        <v>-1050666</v>
      </c>
      <c r="M639" s="209">
        <v>394002.25</v>
      </c>
      <c r="N639" s="242">
        <v>262668.25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-77414.429999999993</v>
      </c>
      <c r="H640" s="239"/>
      <c r="I640" s="239"/>
      <c r="J640" s="210">
        <v>0</v>
      </c>
      <c r="K640" s="209">
        <v>0</v>
      </c>
      <c r="L640" s="209">
        <v>-77414.429999999993</v>
      </c>
      <c r="M640" s="209">
        <v>0</v>
      </c>
      <c r="N640" s="242">
        <v>0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-194470</v>
      </c>
      <c r="H641" s="239"/>
      <c r="I641" s="239"/>
      <c r="J641" s="210">
        <v>-27781</v>
      </c>
      <c r="K641" s="209">
        <v>0</v>
      </c>
      <c r="L641" s="209">
        <v>-222251</v>
      </c>
      <c r="M641" s="209">
        <v>83344.5</v>
      </c>
      <c r="N641" s="242">
        <v>55563.5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-54271</v>
      </c>
      <c r="H642" s="239"/>
      <c r="I642" s="239"/>
      <c r="J642" s="210">
        <v>-7754</v>
      </c>
      <c r="K642" s="209">
        <v>0</v>
      </c>
      <c r="L642" s="209">
        <v>-62025</v>
      </c>
      <c r="M642" s="209">
        <v>23260.18</v>
      </c>
      <c r="N642" s="242">
        <v>15506.18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-26869</v>
      </c>
      <c r="H643" s="239"/>
      <c r="I643" s="239"/>
      <c r="J643" s="210">
        <v>-3838</v>
      </c>
      <c r="K643" s="209">
        <v>0</v>
      </c>
      <c r="L643" s="209">
        <v>-30707</v>
      </c>
      <c r="M643" s="209">
        <v>11514.25</v>
      </c>
      <c r="N643" s="242">
        <v>7676.25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-150305.79999999999</v>
      </c>
      <c r="H644" s="239"/>
      <c r="I644" s="239"/>
      <c r="J644" s="210">
        <v>0</v>
      </c>
      <c r="K644" s="209">
        <v>0</v>
      </c>
      <c r="L644" s="209">
        <v>-150305.79999999999</v>
      </c>
      <c r="M644" s="209">
        <v>0</v>
      </c>
      <c r="N644" s="242">
        <v>0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-199000</v>
      </c>
      <c r="H645" s="239"/>
      <c r="I645" s="239"/>
      <c r="J645" s="210">
        <v>0</v>
      </c>
      <c r="K645" s="209">
        <v>0</v>
      </c>
      <c r="L645" s="209">
        <v>-199000</v>
      </c>
      <c r="M645" s="209">
        <v>0</v>
      </c>
      <c r="N645" s="242">
        <v>0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-103715.62</v>
      </c>
      <c r="H646" s="239"/>
      <c r="I646" s="239"/>
      <c r="J646" s="210">
        <v>0</v>
      </c>
      <c r="K646" s="209">
        <v>0</v>
      </c>
      <c r="L646" s="209">
        <v>-103715.62</v>
      </c>
      <c r="M646" s="209">
        <v>0</v>
      </c>
      <c r="N646" s="242">
        <v>0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-316457</v>
      </c>
      <c r="H647" s="239"/>
      <c r="I647" s="239"/>
      <c r="J647" s="210">
        <v>-46882</v>
      </c>
      <c r="K647" s="209">
        <v>0</v>
      </c>
      <c r="L647" s="209">
        <v>-363339</v>
      </c>
      <c r="M647" s="209">
        <v>152367</v>
      </c>
      <c r="N647" s="242">
        <v>105485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-24098</v>
      </c>
      <c r="H648" s="239"/>
      <c r="I648" s="239"/>
      <c r="J648" s="210">
        <v>-3570</v>
      </c>
      <c r="K648" s="209">
        <v>0</v>
      </c>
      <c r="L648" s="209">
        <v>-27668</v>
      </c>
      <c r="M648" s="209">
        <v>11602</v>
      </c>
      <c r="N648" s="242">
        <v>8032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-106920</v>
      </c>
      <c r="H649" s="239"/>
      <c r="I649" s="239"/>
      <c r="J649" s="210">
        <v>-15840</v>
      </c>
      <c r="K649" s="209">
        <v>0</v>
      </c>
      <c r="L649" s="209">
        <v>-122760</v>
      </c>
      <c r="M649" s="209">
        <v>51480</v>
      </c>
      <c r="N649" s="242">
        <v>35640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-67498</v>
      </c>
      <c r="H650" s="239"/>
      <c r="I650" s="239"/>
      <c r="J650" s="210">
        <v>-10001</v>
      </c>
      <c r="K650" s="209">
        <v>0</v>
      </c>
      <c r="L650" s="209">
        <v>-77499</v>
      </c>
      <c r="M650" s="209">
        <v>82502</v>
      </c>
      <c r="N650" s="242">
        <v>72501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-404155</v>
      </c>
      <c r="H651" s="239"/>
      <c r="I651" s="239"/>
      <c r="J651" s="210">
        <v>-59875</v>
      </c>
      <c r="K651" s="209">
        <v>0</v>
      </c>
      <c r="L651" s="209">
        <v>-464030</v>
      </c>
      <c r="M651" s="209">
        <v>194591.98</v>
      </c>
      <c r="N651" s="242">
        <v>134716.98000000001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-281740</v>
      </c>
      <c r="H652" s="239"/>
      <c r="I652" s="239"/>
      <c r="J652" s="210">
        <v>-42796</v>
      </c>
      <c r="K652" s="209">
        <v>0</v>
      </c>
      <c r="L652" s="209">
        <v>-324536</v>
      </c>
      <c r="M652" s="209">
        <v>146220</v>
      </c>
      <c r="N652" s="242">
        <v>103424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-479614.85</v>
      </c>
      <c r="H653" s="239"/>
      <c r="I653" s="239"/>
      <c r="J653" s="210">
        <v>0</v>
      </c>
      <c r="K653" s="209">
        <v>0</v>
      </c>
      <c r="L653" s="209">
        <v>-479614.85</v>
      </c>
      <c r="M653" s="209">
        <v>0</v>
      </c>
      <c r="N653" s="242">
        <v>0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-181999</v>
      </c>
      <c r="H654" s="239"/>
      <c r="I654" s="239"/>
      <c r="J654" s="210">
        <v>-28000</v>
      </c>
      <c r="K654" s="209">
        <v>0</v>
      </c>
      <c r="L654" s="209">
        <v>-209999</v>
      </c>
      <c r="M654" s="209">
        <v>238001</v>
      </c>
      <c r="N654" s="242">
        <v>210001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-455449</v>
      </c>
      <c r="H655" s="239"/>
      <c r="I655" s="239"/>
      <c r="J655" s="210">
        <v>0</v>
      </c>
      <c r="K655" s="209">
        <v>0</v>
      </c>
      <c r="L655" s="209">
        <v>-455449</v>
      </c>
      <c r="M655" s="209">
        <v>0</v>
      </c>
      <c r="N655" s="242">
        <v>0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-185885</v>
      </c>
      <c r="H656" s="239"/>
      <c r="I656" s="239"/>
      <c r="J656" s="210">
        <v>0</v>
      </c>
      <c r="K656" s="209">
        <v>0</v>
      </c>
      <c r="L656" s="209">
        <v>-185885</v>
      </c>
      <c r="M656" s="209">
        <v>0</v>
      </c>
      <c r="N656" s="242">
        <v>0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-422030</v>
      </c>
      <c r="H657" s="239"/>
      <c r="I657" s="239"/>
      <c r="J657" s="210">
        <v>-67525</v>
      </c>
      <c r="K657" s="209">
        <v>0</v>
      </c>
      <c r="L657" s="209">
        <v>-489555</v>
      </c>
      <c r="M657" s="209">
        <v>253217.9</v>
      </c>
      <c r="N657" s="242">
        <v>185692.9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-85400</v>
      </c>
      <c r="H658" s="239"/>
      <c r="I658" s="239"/>
      <c r="J658" s="210">
        <v>0</v>
      </c>
      <c r="K658" s="209">
        <v>0</v>
      </c>
      <c r="L658" s="209">
        <v>-85400</v>
      </c>
      <c r="M658" s="209">
        <v>0</v>
      </c>
      <c r="N658" s="242">
        <v>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-111218.45</v>
      </c>
      <c r="H659" s="239"/>
      <c r="I659" s="239"/>
      <c r="J659" s="210">
        <v>0</v>
      </c>
      <c r="K659" s="209">
        <v>0</v>
      </c>
      <c r="L659" s="209">
        <v>-111218.45</v>
      </c>
      <c r="M659" s="209">
        <v>0</v>
      </c>
      <c r="N659" s="242">
        <v>0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-191076</v>
      </c>
      <c r="H660" s="239"/>
      <c r="I660" s="239"/>
      <c r="J660" s="210">
        <v>-30985</v>
      </c>
      <c r="K660" s="209">
        <v>0</v>
      </c>
      <c r="L660" s="209">
        <v>-222061</v>
      </c>
      <c r="M660" s="209">
        <v>118777.21</v>
      </c>
      <c r="N660" s="242">
        <v>87792.21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-156236</v>
      </c>
      <c r="H661" s="239"/>
      <c r="I661" s="239"/>
      <c r="J661" s="210">
        <v>-25336</v>
      </c>
      <c r="K661" s="209">
        <v>0</v>
      </c>
      <c r="L661" s="209">
        <v>-181572</v>
      </c>
      <c r="M661" s="209">
        <v>97119.85</v>
      </c>
      <c r="N661" s="242">
        <v>71783.850000000006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-4003723.5</v>
      </c>
      <c r="H743" s="239"/>
      <c r="I743" s="239"/>
      <c r="J743" s="210">
        <v>0</v>
      </c>
      <c r="K743" s="209">
        <v>0</v>
      </c>
      <c r="L743" s="209">
        <v>-4003723.5</v>
      </c>
      <c r="M743" s="209">
        <v>0</v>
      </c>
      <c r="N743" s="242">
        <v>0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-1754039.52</v>
      </c>
      <c r="H769" s="239"/>
      <c r="I769" s="239"/>
      <c r="J769" s="210">
        <v>-96569.72</v>
      </c>
      <c r="K769" s="209">
        <v>0</v>
      </c>
      <c r="L769" s="209">
        <v>-1850609.24</v>
      </c>
      <c r="M769" s="209">
        <v>96569.72</v>
      </c>
      <c r="N769" s="242">
        <v>0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-3009170</v>
      </c>
      <c r="H798" s="239"/>
      <c r="I798" s="239"/>
      <c r="J798" s="210">
        <v>0</v>
      </c>
      <c r="K798" s="209">
        <v>0</v>
      </c>
      <c r="L798" s="209">
        <v>-3009170</v>
      </c>
      <c r="M798" s="209">
        <v>0</v>
      </c>
      <c r="N798" s="242">
        <v>0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-836800</v>
      </c>
      <c r="H843" s="239"/>
      <c r="I843" s="239"/>
      <c r="J843" s="210">
        <v>0</v>
      </c>
      <c r="K843" s="209">
        <v>0</v>
      </c>
      <c r="L843" s="209">
        <v>-836800</v>
      </c>
      <c r="M843" s="209">
        <v>0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-51264</v>
      </c>
      <c r="H846" s="239"/>
      <c r="I846" s="239"/>
      <c r="J846" s="210">
        <v>0</v>
      </c>
      <c r="K846" s="209">
        <v>0</v>
      </c>
      <c r="L846" s="209">
        <v>-51264</v>
      </c>
      <c r="M846" s="209">
        <v>0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-432660</v>
      </c>
      <c r="H850" s="239"/>
      <c r="I850" s="239"/>
      <c r="J850" s="210">
        <v>0</v>
      </c>
      <c r="K850" s="209">
        <v>0</v>
      </c>
      <c r="L850" s="209">
        <v>-432660</v>
      </c>
      <c r="M850" s="209">
        <v>0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-8114080</v>
      </c>
      <c r="H860" s="239"/>
      <c r="I860" s="239"/>
      <c r="J860" s="210">
        <v>0</v>
      </c>
      <c r="K860" s="209">
        <v>0</v>
      </c>
      <c r="L860" s="209">
        <v>-8114080</v>
      </c>
      <c r="M860" s="209">
        <v>0</v>
      </c>
      <c r="N860" s="242">
        <v>0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-948740.88</v>
      </c>
      <c r="H861" s="239"/>
      <c r="I861" s="239"/>
      <c r="J861" s="210">
        <v>0</v>
      </c>
      <c r="K861" s="209">
        <v>0</v>
      </c>
      <c r="L861" s="209">
        <v>-948740.88</v>
      </c>
      <c r="M861" s="209">
        <v>0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-118404524.37</v>
      </c>
      <c r="H862" s="244"/>
      <c r="I862" s="244"/>
      <c r="J862" s="208">
        <v>-3805593.13</v>
      </c>
      <c r="K862" s="207">
        <v>0</v>
      </c>
      <c r="L862" s="207">
        <v>-122210117.5</v>
      </c>
      <c r="M862" s="207">
        <v>15564550.560000001</v>
      </c>
      <c r="N862" s="245">
        <v>11758957.43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-264263841.36000001</v>
      </c>
      <c r="H871" s="239"/>
      <c r="I871" s="239"/>
      <c r="J871" s="202">
        <v>-5146343.2</v>
      </c>
      <c r="K871" s="201">
        <v>0</v>
      </c>
      <c r="L871" s="201">
        <v>-269410184.56</v>
      </c>
      <c r="M871" s="201">
        <v>21561884.870000001</v>
      </c>
      <c r="N871" s="253">
        <v>16415541.67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20E42-78ED-4C22-99C7-1C4A13734341}">
  <dimension ref="A1:O872"/>
  <sheetViews>
    <sheetView showGridLines="0" workbookViewId="0">
      <pane ySplit="15" topLeftCell="A854" activePane="bottomLeft" state="frozen"/>
      <selection pane="bottomLeft" activeCell="J4" sqref="J1:J1048576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1828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1825</v>
      </c>
      <c r="D14" s="212" t="s">
        <v>162</v>
      </c>
      <c r="E14" s="212" t="s">
        <v>163</v>
      </c>
      <c r="F14" s="212" t="s">
        <v>1829</v>
      </c>
      <c r="G14" s="251" t="s">
        <v>1826</v>
      </c>
      <c r="H14" s="239"/>
      <c r="I14" s="239"/>
      <c r="J14" s="213" t="s">
        <v>166</v>
      </c>
      <c r="K14" s="212" t="s">
        <v>167</v>
      </c>
      <c r="L14" s="212" t="s">
        <v>1830</v>
      </c>
      <c r="M14" s="212" t="s">
        <v>1827</v>
      </c>
      <c r="N14" s="251" t="s">
        <v>1831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-2080082.11</v>
      </c>
      <c r="H18" s="239"/>
      <c r="I18" s="239"/>
      <c r="J18" s="210">
        <v>-76334</v>
      </c>
      <c r="K18" s="209">
        <v>0</v>
      </c>
      <c r="L18" s="209">
        <v>-2156416.11</v>
      </c>
      <c r="M18" s="209">
        <v>209917.89</v>
      </c>
      <c r="N18" s="242">
        <v>133583.89000000001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-929000</v>
      </c>
      <c r="H19" s="239"/>
      <c r="I19" s="239"/>
      <c r="J19" s="210">
        <v>0</v>
      </c>
      <c r="K19" s="209">
        <v>0</v>
      </c>
      <c r="L19" s="209">
        <v>-929000</v>
      </c>
      <c r="M19" s="209">
        <v>0</v>
      </c>
      <c r="N19" s="242">
        <v>0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-230000</v>
      </c>
      <c r="H20" s="239"/>
      <c r="I20" s="239"/>
      <c r="J20" s="210">
        <v>0</v>
      </c>
      <c r="K20" s="209">
        <v>0</v>
      </c>
      <c r="L20" s="209">
        <v>-230000</v>
      </c>
      <c r="M20" s="209">
        <v>0</v>
      </c>
      <c r="N20" s="242">
        <v>0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-969000</v>
      </c>
      <c r="H21" s="239"/>
      <c r="I21" s="239"/>
      <c r="J21" s="210">
        <v>0</v>
      </c>
      <c r="K21" s="209">
        <v>0</v>
      </c>
      <c r="L21" s="209">
        <v>-969000</v>
      </c>
      <c r="M21" s="209">
        <v>0</v>
      </c>
      <c r="N21" s="242">
        <v>0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-4208082.1100000003</v>
      </c>
      <c r="H22" s="244"/>
      <c r="I22" s="244"/>
      <c r="J22" s="208">
        <v>-76334</v>
      </c>
      <c r="K22" s="207">
        <v>0</v>
      </c>
      <c r="L22" s="207">
        <v>-4284416.1100000003</v>
      </c>
      <c r="M22" s="207">
        <v>209917.89</v>
      </c>
      <c r="N22" s="245">
        <v>133583.89000000001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-6608400</v>
      </c>
      <c r="H36" s="239"/>
      <c r="I36" s="239"/>
      <c r="J36" s="210">
        <v>0</v>
      </c>
      <c r="K36" s="209">
        <v>0</v>
      </c>
      <c r="L36" s="209">
        <v>-6608400</v>
      </c>
      <c r="M36" s="209">
        <v>0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-7138338</v>
      </c>
      <c r="H37" s="239"/>
      <c r="I37" s="239"/>
      <c r="J37" s="210">
        <v>0</v>
      </c>
      <c r="K37" s="209">
        <v>0</v>
      </c>
      <c r="L37" s="209">
        <v>-7138338</v>
      </c>
      <c r="M37" s="209">
        <v>0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-1728820</v>
      </c>
      <c r="H38" s="239"/>
      <c r="I38" s="239"/>
      <c r="J38" s="210">
        <v>0</v>
      </c>
      <c r="K38" s="209">
        <v>0</v>
      </c>
      <c r="L38" s="209">
        <v>-1728820</v>
      </c>
      <c r="M38" s="209">
        <v>0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-1728820</v>
      </c>
      <c r="H39" s="239"/>
      <c r="I39" s="239"/>
      <c r="J39" s="210">
        <v>0</v>
      </c>
      <c r="K39" s="209">
        <v>0</v>
      </c>
      <c r="L39" s="209">
        <v>-1728820</v>
      </c>
      <c r="M39" s="209">
        <v>0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-1728820</v>
      </c>
      <c r="H40" s="239"/>
      <c r="I40" s="239"/>
      <c r="J40" s="210">
        <v>0</v>
      </c>
      <c r="K40" s="209">
        <v>0</v>
      </c>
      <c r="L40" s="209">
        <v>-1728820</v>
      </c>
      <c r="M40" s="209">
        <v>0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-985782.31</v>
      </c>
      <c r="H42" s="239"/>
      <c r="I42" s="239"/>
      <c r="J42" s="210">
        <v>0</v>
      </c>
      <c r="K42" s="209">
        <v>0</v>
      </c>
      <c r="L42" s="209">
        <v>-985782.31</v>
      </c>
      <c r="M42" s="209">
        <v>0</v>
      </c>
      <c r="N42" s="242">
        <v>0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-1567000</v>
      </c>
      <c r="H44" s="239"/>
      <c r="I44" s="239"/>
      <c r="J44" s="210">
        <v>0</v>
      </c>
      <c r="K44" s="209">
        <v>0</v>
      </c>
      <c r="L44" s="209">
        <v>-1567000</v>
      </c>
      <c r="M44" s="209">
        <v>0</v>
      </c>
      <c r="N44" s="242">
        <v>0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-1264347.94</v>
      </c>
      <c r="H45" s="239"/>
      <c r="I45" s="239"/>
      <c r="J45" s="210">
        <v>0</v>
      </c>
      <c r="K45" s="209">
        <v>0</v>
      </c>
      <c r="L45" s="209">
        <v>-1264347.94</v>
      </c>
      <c r="M45" s="209">
        <v>0</v>
      </c>
      <c r="N45" s="242">
        <v>0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-1567000</v>
      </c>
      <c r="H47" s="239"/>
      <c r="I47" s="239"/>
      <c r="J47" s="210">
        <v>0</v>
      </c>
      <c r="K47" s="209">
        <v>0</v>
      </c>
      <c r="L47" s="209">
        <v>-1567000</v>
      </c>
      <c r="M47" s="209">
        <v>0</v>
      </c>
      <c r="N47" s="242">
        <v>0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-750224</v>
      </c>
      <c r="H48" s="239"/>
      <c r="I48" s="239"/>
      <c r="J48" s="210">
        <v>0</v>
      </c>
      <c r="K48" s="209">
        <v>0</v>
      </c>
      <c r="L48" s="209">
        <v>-750224</v>
      </c>
      <c r="M48" s="209">
        <v>0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-654354</v>
      </c>
      <c r="H49" s="239"/>
      <c r="I49" s="239"/>
      <c r="J49" s="210">
        <v>0</v>
      </c>
      <c r="K49" s="209">
        <v>0</v>
      </c>
      <c r="L49" s="209">
        <v>-654354</v>
      </c>
      <c r="M49" s="209">
        <v>0</v>
      </c>
      <c r="N49" s="242">
        <v>0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-654354</v>
      </c>
      <c r="H51" s="239"/>
      <c r="I51" s="239"/>
      <c r="J51" s="210">
        <v>0</v>
      </c>
      <c r="K51" s="209">
        <v>0</v>
      </c>
      <c r="L51" s="209">
        <v>-654354</v>
      </c>
      <c r="M51" s="209">
        <v>0</v>
      </c>
      <c r="N51" s="242">
        <v>0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-654354</v>
      </c>
      <c r="H52" s="239"/>
      <c r="I52" s="239"/>
      <c r="J52" s="210">
        <v>0</v>
      </c>
      <c r="K52" s="209">
        <v>0</v>
      </c>
      <c r="L52" s="209">
        <v>-654354</v>
      </c>
      <c r="M52" s="209">
        <v>0</v>
      </c>
      <c r="N52" s="242">
        <v>0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-654354</v>
      </c>
      <c r="H53" s="239"/>
      <c r="I53" s="239"/>
      <c r="J53" s="210">
        <v>0</v>
      </c>
      <c r="K53" s="209">
        <v>0</v>
      </c>
      <c r="L53" s="209">
        <v>-654354</v>
      </c>
      <c r="M53" s="209">
        <v>0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-654354</v>
      </c>
      <c r="H54" s="239"/>
      <c r="I54" s="239"/>
      <c r="J54" s="210">
        <v>0</v>
      </c>
      <c r="K54" s="209">
        <v>0</v>
      </c>
      <c r="L54" s="209">
        <v>-654354</v>
      </c>
      <c r="M54" s="209">
        <v>0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-654354</v>
      </c>
      <c r="H59" s="239"/>
      <c r="I59" s="239"/>
      <c r="J59" s="210">
        <v>0</v>
      </c>
      <c r="K59" s="209">
        <v>0</v>
      </c>
      <c r="L59" s="209">
        <v>-654354</v>
      </c>
      <c r="M59" s="209">
        <v>0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-654354</v>
      </c>
      <c r="H62" s="239"/>
      <c r="I62" s="239"/>
      <c r="J62" s="210">
        <v>0</v>
      </c>
      <c r="K62" s="209">
        <v>0</v>
      </c>
      <c r="L62" s="209">
        <v>-654354</v>
      </c>
      <c r="M62" s="209">
        <v>0</v>
      </c>
      <c r="N62" s="242">
        <v>0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-654354</v>
      </c>
      <c r="H63" s="239"/>
      <c r="I63" s="239"/>
      <c r="J63" s="210">
        <v>0</v>
      </c>
      <c r="K63" s="209">
        <v>0</v>
      </c>
      <c r="L63" s="209">
        <v>-654354</v>
      </c>
      <c r="M63" s="209">
        <v>0</v>
      </c>
      <c r="N63" s="242">
        <v>0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-654354</v>
      </c>
      <c r="H64" s="239"/>
      <c r="I64" s="239"/>
      <c r="J64" s="210">
        <v>0</v>
      </c>
      <c r="K64" s="209">
        <v>0</v>
      </c>
      <c r="L64" s="209">
        <v>-654354</v>
      </c>
      <c r="M64" s="209">
        <v>0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-654354</v>
      </c>
      <c r="H65" s="239"/>
      <c r="I65" s="239"/>
      <c r="J65" s="210">
        <v>0</v>
      </c>
      <c r="K65" s="209">
        <v>0</v>
      </c>
      <c r="L65" s="209">
        <v>-654354</v>
      </c>
      <c r="M65" s="209">
        <v>0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-654354</v>
      </c>
      <c r="H66" s="239"/>
      <c r="I66" s="239"/>
      <c r="J66" s="210">
        <v>0</v>
      </c>
      <c r="K66" s="209">
        <v>0</v>
      </c>
      <c r="L66" s="209">
        <v>-654354</v>
      </c>
      <c r="M66" s="209">
        <v>0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-654353</v>
      </c>
      <c r="H68" s="239"/>
      <c r="I68" s="239"/>
      <c r="J68" s="210">
        <v>0</v>
      </c>
      <c r="K68" s="209">
        <v>0</v>
      </c>
      <c r="L68" s="209">
        <v>-654353</v>
      </c>
      <c r="M68" s="209">
        <v>0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-654353</v>
      </c>
      <c r="H73" s="239"/>
      <c r="I73" s="239"/>
      <c r="J73" s="210">
        <v>0</v>
      </c>
      <c r="K73" s="209">
        <v>0</v>
      </c>
      <c r="L73" s="209">
        <v>-654353</v>
      </c>
      <c r="M73" s="209">
        <v>0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-654353</v>
      </c>
      <c r="H75" s="239"/>
      <c r="I75" s="239"/>
      <c r="J75" s="210">
        <v>0</v>
      </c>
      <c r="K75" s="209">
        <v>0</v>
      </c>
      <c r="L75" s="209">
        <v>-654353</v>
      </c>
      <c r="M75" s="209">
        <v>0</v>
      </c>
      <c r="N75" s="242">
        <v>0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-654353</v>
      </c>
      <c r="H76" s="239"/>
      <c r="I76" s="239"/>
      <c r="J76" s="210">
        <v>0</v>
      </c>
      <c r="K76" s="209">
        <v>0</v>
      </c>
      <c r="L76" s="209">
        <v>-654353</v>
      </c>
      <c r="M76" s="209">
        <v>0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-654353</v>
      </c>
      <c r="H78" s="239"/>
      <c r="I78" s="239"/>
      <c r="J78" s="210">
        <v>0</v>
      </c>
      <c r="K78" s="209">
        <v>0</v>
      </c>
      <c r="L78" s="209">
        <v>-654353</v>
      </c>
      <c r="M78" s="209">
        <v>0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-654353</v>
      </c>
      <c r="H79" s="239"/>
      <c r="I79" s="239"/>
      <c r="J79" s="210">
        <v>0</v>
      </c>
      <c r="K79" s="209">
        <v>0</v>
      </c>
      <c r="L79" s="209">
        <v>-654353</v>
      </c>
      <c r="M79" s="209">
        <v>0</v>
      </c>
      <c r="N79" s="242">
        <v>0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-654353</v>
      </c>
      <c r="H80" s="239"/>
      <c r="I80" s="239"/>
      <c r="J80" s="210">
        <v>0</v>
      </c>
      <c r="K80" s="209">
        <v>0</v>
      </c>
      <c r="L80" s="209">
        <v>-654353</v>
      </c>
      <c r="M80" s="209">
        <v>0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-654353</v>
      </c>
      <c r="H82" s="239"/>
      <c r="I82" s="239"/>
      <c r="J82" s="210">
        <v>0</v>
      </c>
      <c r="K82" s="209">
        <v>0</v>
      </c>
      <c r="L82" s="209">
        <v>-654353</v>
      </c>
      <c r="M82" s="209">
        <v>0</v>
      </c>
      <c r="N82" s="242">
        <v>0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-654353</v>
      </c>
      <c r="H83" s="239"/>
      <c r="I83" s="239"/>
      <c r="J83" s="210">
        <v>0</v>
      </c>
      <c r="K83" s="209">
        <v>0</v>
      </c>
      <c r="L83" s="209">
        <v>-654353</v>
      </c>
      <c r="M83" s="209">
        <v>0</v>
      </c>
      <c r="N83" s="242">
        <v>0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-654353</v>
      </c>
      <c r="H85" s="239"/>
      <c r="I85" s="239"/>
      <c r="J85" s="210">
        <v>0</v>
      </c>
      <c r="K85" s="209">
        <v>0</v>
      </c>
      <c r="L85" s="209">
        <v>-654353</v>
      </c>
      <c r="M85" s="209">
        <v>0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-654353</v>
      </c>
      <c r="H87" s="239"/>
      <c r="I87" s="239"/>
      <c r="J87" s="210">
        <v>0</v>
      </c>
      <c r="K87" s="209">
        <v>0</v>
      </c>
      <c r="L87" s="209">
        <v>-654353</v>
      </c>
      <c r="M87" s="209">
        <v>0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-654353</v>
      </c>
      <c r="H91" s="239"/>
      <c r="I91" s="239"/>
      <c r="J91" s="210">
        <v>0</v>
      </c>
      <c r="K91" s="209">
        <v>0</v>
      </c>
      <c r="L91" s="209">
        <v>-654353</v>
      </c>
      <c r="M91" s="209">
        <v>0</v>
      </c>
      <c r="N91" s="242">
        <v>0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-654353</v>
      </c>
      <c r="H92" s="239"/>
      <c r="I92" s="239"/>
      <c r="J92" s="210">
        <v>0</v>
      </c>
      <c r="K92" s="209">
        <v>0</v>
      </c>
      <c r="L92" s="209">
        <v>-654353</v>
      </c>
      <c r="M92" s="209">
        <v>0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-654353</v>
      </c>
      <c r="H96" s="239"/>
      <c r="I96" s="239"/>
      <c r="J96" s="210">
        <v>0</v>
      </c>
      <c r="K96" s="209">
        <v>0</v>
      </c>
      <c r="L96" s="209">
        <v>-654353</v>
      </c>
      <c r="M96" s="209">
        <v>0</v>
      </c>
      <c r="N96" s="242">
        <v>0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-654353</v>
      </c>
      <c r="H97" s="239"/>
      <c r="I97" s="239"/>
      <c r="J97" s="210">
        <v>0</v>
      </c>
      <c r="K97" s="209">
        <v>0</v>
      </c>
      <c r="L97" s="209">
        <v>-654353</v>
      </c>
      <c r="M97" s="209">
        <v>0</v>
      </c>
      <c r="N97" s="242">
        <v>0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-654353</v>
      </c>
      <c r="H99" s="239"/>
      <c r="I99" s="239"/>
      <c r="J99" s="210">
        <v>0</v>
      </c>
      <c r="K99" s="209">
        <v>0</v>
      </c>
      <c r="L99" s="209">
        <v>-654353</v>
      </c>
      <c r="M99" s="209">
        <v>0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-654353</v>
      </c>
      <c r="H102" s="239"/>
      <c r="I102" s="239"/>
      <c r="J102" s="210">
        <v>0</v>
      </c>
      <c r="K102" s="209">
        <v>0</v>
      </c>
      <c r="L102" s="209">
        <v>-654353</v>
      </c>
      <c r="M102" s="209">
        <v>0</v>
      </c>
      <c r="N102" s="242">
        <v>0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-654353</v>
      </c>
      <c r="H103" s="239"/>
      <c r="I103" s="239"/>
      <c r="J103" s="210">
        <v>0</v>
      </c>
      <c r="K103" s="209">
        <v>0</v>
      </c>
      <c r="L103" s="209">
        <v>-654353</v>
      </c>
      <c r="M103" s="209">
        <v>0</v>
      </c>
      <c r="N103" s="242">
        <v>0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-1100000</v>
      </c>
      <c r="H285" s="239"/>
      <c r="I285" s="239"/>
      <c r="J285" s="210">
        <v>0</v>
      </c>
      <c r="K285" s="209">
        <v>0</v>
      </c>
      <c r="L285" s="209">
        <v>-1100000</v>
      </c>
      <c r="M285" s="209">
        <v>0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-1100000</v>
      </c>
      <c r="H286" s="239"/>
      <c r="I286" s="239"/>
      <c r="J286" s="210">
        <v>0</v>
      </c>
      <c r="K286" s="209">
        <v>0</v>
      </c>
      <c r="L286" s="209">
        <v>-1100000</v>
      </c>
      <c r="M286" s="209">
        <v>0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-109118716.79000001</v>
      </c>
      <c r="H290" s="244"/>
      <c r="I290" s="244"/>
      <c r="J290" s="208">
        <v>0</v>
      </c>
      <c r="K290" s="207">
        <v>0</v>
      </c>
      <c r="L290" s="207">
        <v>-109118716.79000001</v>
      </c>
      <c r="M290" s="207">
        <v>5.96</v>
      </c>
      <c r="N290" s="245">
        <v>5.96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-287848.71999999997</v>
      </c>
      <c r="H294" s="239"/>
      <c r="I294" s="239"/>
      <c r="J294" s="210">
        <v>-19190</v>
      </c>
      <c r="K294" s="209">
        <v>0</v>
      </c>
      <c r="L294" s="209">
        <v>-307038.71999999997</v>
      </c>
      <c r="M294" s="209">
        <v>95952.28</v>
      </c>
      <c r="N294" s="242">
        <v>76762.28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-4756615.9400000004</v>
      </c>
      <c r="H295" s="239"/>
      <c r="I295" s="239"/>
      <c r="J295" s="210">
        <v>-317163</v>
      </c>
      <c r="K295" s="209">
        <v>0</v>
      </c>
      <c r="L295" s="209">
        <v>-5073778.9400000004</v>
      </c>
      <c r="M295" s="209">
        <v>1585816.06</v>
      </c>
      <c r="N295" s="242">
        <v>1268653.06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-2721242.58</v>
      </c>
      <c r="H296" s="239"/>
      <c r="I296" s="239"/>
      <c r="J296" s="210">
        <v>-0.42</v>
      </c>
      <c r="K296" s="209">
        <v>0</v>
      </c>
      <c r="L296" s="209">
        <v>-2721243</v>
      </c>
      <c r="M296" s="209">
        <v>0.42</v>
      </c>
      <c r="N296" s="242">
        <v>0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-4318238.55</v>
      </c>
      <c r="H297" s="239"/>
      <c r="I297" s="239"/>
      <c r="J297" s="210">
        <v>-0.25</v>
      </c>
      <c r="K297" s="209">
        <v>0</v>
      </c>
      <c r="L297" s="209">
        <v>-4318238.8</v>
      </c>
      <c r="M297" s="209">
        <v>0.25</v>
      </c>
      <c r="N297" s="242">
        <v>0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-3107893.89</v>
      </c>
      <c r="H298" s="239"/>
      <c r="I298" s="239"/>
      <c r="J298" s="210">
        <v>-207201</v>
      </c>
      <c r="K298" s="209">
        <v>0</v>
      </c>
      <c r="L298" s="209">
        <v>-3315094.89</v>
      </c>
      <c r="M298" s="209">
        <v>1036004.71</v>
      </c>
      <c r="N298" s="242">
        <v>828803.71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-632099.52</v>
      </c>
      <c r="H299" s="239"/>
      <c r="I299" s="239"/>
      <c r="J299" s="210">
        <v>-0.08</v>
      </c>
      <c r="K299" s="209">
        <v>0</v>
      </c>
      <c r="L299" s="209">
        <v>-632099.6</v>
      </c>
      <c r="M299" s="209">
        <v>0.08</v>
      </c>
      <c r="N299" s="242">
        <v>0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-455522.46</v>
      </c>
      <c r="H300" s="239"/>
      <c r="I300" s="239"/>
      <c r="J300" s="210">
        <v>-32538</v>
      </c>
      <c r="K300" s="209">
        <v>0</v>
      </c>
      <c r="L300" s="209">
        <v>-488060.46</v>
      </c>
      <c r="M300" s="209">
        <v>195227.54</v>
      </c>
      <c r="N300" s="242">
        <v>162689.54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-81369.259999999995</v>
      </c>
      <c r="H301" s="239"/>
      <c r="I301" s="239"/>
      <c r="J301" s="210">
        <v>-5981</v>
      </c>
      <c r="K301" s="209">
        <v>0</v>
      </c>
      <c r="L301" s="209">
        <v>-87350.26</v>
      </c>
      <c r="M301" s="209">
        <v>37880.74</v>
      </c>
      <c r="N301" s="242">
        <v>31899.74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-2134273.14</v>
      </c>
      <c r="H302" s="239"/>
      <c r="I302" s="239"/>
      <c r="J302" s="210">
        <v>-164175</v>
      </c>
      <c r="K302" s="209">
        <v>0</v>
      </c>
      <c r="L302" s="209">
        <v>-2298448.14</v>
      </c>
      <c r="M302" s="209">
        <v>1149229.8600000001</v>
      </c>
      <c r="N302" s="242">
        <v>985054.86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-61652</v>
      </c>
      <c r="H304" s="239"/>
      <c r="I304" s="239"/>
      <c r="J304" s="210">
        <v>-6546</v>
      </c>
      <c r="K304" s="209">
        <v>0</v>
      </c>
      <c r="L304" s="209">
        <v>-68198</v>
      </c>
      <c r="M304" s="209">
        <v>36548</v>
      </c>
      <c r="N304" s="242">
        <v>30002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-1107237</v>
      </c>
      <c r="H305" s="239"/>
      <c r="I305" s="239"/>
      <c r="J305" s="210">
        <v>0</v>
      </c>
      <c r="K305" s="209">
        <v>0</v>
      </c>
      <c r="L305" s="209">
        <v>-1107237</v>
      </c>
      <c r="M305" s="209">
        <v>0</v>
      </c>
      <c r="N305" s="242">
        <v>0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-19854709.960000001</v>
      </c>
      <c r="H306" s="244"/>
      <c r="I306" s="244"/>
      <c r="J306" s="208">
        <v>-752794.75</v>
      </c>
      <c r="K306" s="207">
        <v>0</v>
      </c>
      <c r="L306" s="207">
        <v>-20607504.710000001</v>
      </c>
      <c r="M306" s="207">
        <v>4136659.94</v>
      </c>
      <c r="N306" s="245">
        <v>3383865.19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-253101</v>
      </c>
      <c r="H311" s="239"/>
      <c r="I311" s="239"/>
      <c r="J311" s="210">
        <v>0</v>
      </c>
      <c r="K311" s="209">
        <v>0</v>
      </c>
      <c r="L311" s="209">
        <v>-253101</v>
      </c>
      <c r="M311" s="209">
        <v>0</v>
      </c>
      <c r="N311" s="242">
        <v>0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-300510.5</v>
      </c>
      <c r="H314" s="239"/>
      <c r="I314" s="239"/>
      <c r="J314" s="210">
        <v>0</v>
      </c>
      <c r="K314" s="209">
        <v>0</v>
      </c>
      <c r="L314" s="209">
        <v>-300510.5</v>
      </c>
      <c r="M314" s="209">
        <v>0</v>
      </c>
      <c r="N314" s="242">
        <v>0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-911136.8</v>
      </c>
      <c r="H315" s="239"/>
      <c r="I315" s="239"/>
      <c r="J315" s="210">
        <v>0</v>
      </c>
      <c r="K315" s="209">
        <v>0</v>
      </c>
      <c r="L315" s="209">
        <v>-911136.8</v>
      </c>
      <c r="M315" s="209">
        <v>0</v>
      </c>
      <c r="N315" s="242">
        <v>0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-14018558.199999999</v>
      </c>
      <c r="H316" s="244"/>
      <c r="I316" s="244"/>
      <c r="J316" s="208">
        <v>0</v>
      </c>
      <c r="K316" s="207">
        <v>0</v>
      </c>
      <c r="L316" s="207">
        <v>-14018558.199999999</v>
      </c>
      <c r="M316" s="207">
        <v>0.45</v>
      </c>
      <c r="N316" s="245">
        <v>0.45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-313654</v>
      </c>
      <c r="H334" s="239"/>
      <c r="I334" s="239"/>
      <c r="J334" s="210">
        <v>0</v>
      </c>
      <c r="K334" s="209">
        <v>0</v>
      </c>
      <c r="L334" s="209">
        <v>-313654</v>
      </c>
      <c r="M334" s="209">
        <v>0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-1244337</v>
      </c>
      <c r="H335" s="239"/>
      <c r="I335" s="239"/>
      <c r="J335" s="210">
        <v>0</v>
      </c>
      <c r="K335" s="209">
        <v>0</v>
      </c>
      <c r="L335" s="209">
        <v>-1244337</v>
      </c>
      <c r="M335" s="209">
        <v>0</v>
      </c>
      <c r="N335" s="242">
        <v>0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-1059450</v>
      </c>
      <c r="H341" s="239"/>
      <c r="I341" s="239"/>
      <c r="J341" s="210">
        <v>0</v>
      </c>
      <c r="K341" s="209">
        <v>0</v>
      </c>
      <c r="L341" s="209">
        <v>-1059450</v>
      </c>
      <c r="M341" s="209">
        <v>0</v>
      </c>
      <c r="N341" s="242">
        <v>0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-199739.04</v>
      </c>
      <c r="H342" s="239"/>
      <c r="I342" s="239"/>
      <c r="J342" s="210">
        <v>-13245</v>
      </c>
      <c r="K342" s="209">
        <v>0</v>
      </c>
      <c r="L342" s="209">
        <v>-212984.04</v>
      </c>
      <c r="M342" s="209">
        <v>65123.96</v>
      </c>
      <c r="N342" s="242">
        <v>51878.96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-949602</v>
      </c>
      <c r="H353" s="239"/>
      <c r="I353" s="239"/>
      <c r="J353" s="210">
        <v>0</v>
      </c>
      <c r="K353" s="209">
        <v>0</v>
      </c>
      <c r="L353" s="209">
        <v>-949602</v>
      </c>
      <c r="M353" s="209">
        <v>0</v>
      </c>
      <c r="N353" s="242">
        <v>0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-342454.13</v>
      </c>
      <c r="H354" s="239"/>
      <c r="I354" s="239"/>
      <c r="J354" s="210">
        <v>-21045</v>
      </c>
      <c r="K354" s="209">
        <v>0</v>
      </c>
      <c r="L354" s="209">
        <v>-363499.13</v>
      </c>
      <c r="M354" s="209">
        <v>84178.87</v>
      </c>
      <c r="N354" s="242">
        <v>63133.87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-80000</v>
      </c>
      <c r="H357" s="239"/>
      <c r="I357" s="239"/>
      <c r="J357" s="210">
        <v>0</v>
      </c>
      <c r="K357" s="209">
        <v>0</v>
      </c>
      <c r="L357" s="209">
        <v>-80000</v>
      </c>
      <c r="M357" s="209">
        <v>0</v>
      </c>
      <c r="N357" s="242">
        <v>0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-77000</v>
      </c>
      <c r="H358" s="239"/>
      <c r="I358" s="239"/>
      <c r="J358" s="210">
        <v>0</v>
      </c>
      <c r="K358" s="209">
        <v>0</v>
      </c>
      <c r="L358" s="209">
        <v>-77000</v>
      </c>
      <c r="M358" s="209">
        <v>0</v>
      </c>
      <c r="N358" s="242">
        <v>0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-36712</v>
      </c>
      <c r="H359" s="239"/>
      <c r="I359" s="239"/>
      <c r="J359" s="210">
        <v>0</v>
      </c>
      <c r="K359" s="209">
        <v>0</v>
      </c>
      <c r="L359" s="209">
        <v>-36712</v>
      </c>
      <c r="M359" s="209">
        <v>0</v>
      </c>
      <c r="N359" s="242">
        <v>0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-24000</v>
      </c>
      <c r="H362" s="239"/>
      <c r="I362" s="239"/>
      <c r="J362" s="210">
        <v>0</v>
      </c>
      <c r="K362" s="209">
        <v>0</v>
      </c>
      <c r="L362" s="209">
        <v>-24000</v>
      </c>
      <c r="M362" s="209">
        <v>0</v>
      </c>
      <c r="N362" s="242">
        <v>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-3556702.5</v>
      </c>
      <c r="H365" s="239"/>
      <c r="I365" s="239"/>
      <c r="J365" s="210">
        <v>-165427.5</v>
      </c>
      <c r="K365" s="209">
        <v>0</v>
      </c>
      <c r="L365" s="209">
        <v>-3722130</v>
      </c>
      <c r="M365" s="209">
        <v>165427.5</v>
      </c>
      <c r="N365" s="242">
        <v>0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-1866296.81</v>
      </c>
      <c r="H366" s="239"/>
      <c r="I366" s="239"/>
      <c r="J366" s="210">
        <v>-86804.19</v>
      </c>
      <c r="K366" s="209">
        <v>0</v>
      </c>
      <c r="L366" s="209">
        <v>-1953101</v>
      </c>
      <c r="M366" s="209">
        <v>86804.19</v>
      </c>
      <c r="N366" s="242">
        <v>0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-858063.15</v>
      </c>
      <c r="H367" s="239"/>
      <c r="I367" s="239"/>
      <c r="J367" s="210">
        <v>-39908.85</v>
      </c>
      <c r="K367" s="209">
        <v>0</v>
      </c>
      <c r="L367" s="209">
        <v>-897972</v>
      </c>
      <c r="M367" s="209">
        <v>39908.85</v>
      </c>
      <c r="N367" s="242">
        <v>0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-900537.39</v>
      </c>
      <c r="H368" s="239"/>
      <c r="I368" s="239"/>
      <c r="J368" s="210">
        <v>-41884.61</v>
      </c>
      <c r="K368" s="209">
        <v>0</v>
      </c>
      <c r="L368" s="209">
        <v>-942422</v>
      </c>
      <c r="M368" s="209">
        <v>41884.61</v>
      </c>
      <c r="N368" s="242">
        <v>0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-467463.55</v>
      </c>
      <c r="H369" s="239"/>
      <c r="I369" s="239"/>
      <c r="J369" s="210">
        <v>-21742.45</v>
      </c>
      <c r="K369" s="209">
        <v>0</v>
      </c>
      <c r="L369" s="209">
        <v>-489206</v>
      </c>
      <c r="M369" s="209">
        <v>21742.45</v>
      </c>
      <c r="N369" s="242">
        <v>0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-982579.19999999995</v>
      </c>
      <c r="H370" s="239"/>
      <c r="I370" s="239"/>
      <c r="J370" s="210">
        <v>-68551</v>
      </c>
      <c r="K370" s="209">
        <v>0</v>
      </c>
      <c r="L370" s="209">
        <v>-1051130.2</v>
      </c>
      <c r="M370" s="209">
        <v>388454.8</v>
      </c>
      <c r="N370" s="242">
        <v>319903.8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-2437063.35</v>
      </c>
      <c r="H371" s="239"/>
      <c r="I371" s="239"/>
      <c r="J371" s="210">
        <v>-113351.65</v>
      </c>
      <c r="K371" s="209">
        <v>0</v>
      </c>
      <c r="L371" s="209">
        <v>-2550415</v>
      </c>
      <c r="M371" s="209">
        <v>113351.65</v>
      </c>
      <c r="N371" s="242">
        <v>0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-636202.65</v>
      </c>
      <c r="H372" s="239"/>
      <c r="I372" s="239"/>
      <c r="J372" s="210">
        <v>-44386</v>
      </c>
      <c r="K372" s="209">
        <v>0</v>
      </c>
      <c r="L372" s="209">
        <v>-680588.65</v>
      </c>
      <c r="M372" s="209">
        <v>695377.35</v>
      </c>
      <c r="N372" s="242">
        <v>650991.35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-775242.65</v>
      </c>
      <c r="H373" s="239"/>
      <c r="I373" s="239"/>
      <c r="J373" s="210">
        <v>-36058.35</v>
      </c>
      <c r="K373" s="209">
        <v>0</v>
      </c>
      <c r="L373" s="209">
        <v>-811301</v>
      </c>
      <c r="M373" s="209">
        <v>36058.35</v>
      </c>
      <c r="N373" s="242">
        <v>0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-79700</v>
      </c>
      <c r="H375" s="239"/>
      <c r="I375" s="239"/>
      <c r="J375" s="210">
        <v>0</v>
      </c>
      <c r="K375" s="209">
        <v>0</v>
      </c>
      <c r="L375" s="209">
        <v>-79700</v>
      </c>
      <c r="M375" s="209">
        <v>0</v>
      </c>
      <c r="N375" s="242">
        <v>0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-90830</v>
      </c>
      <c r="H377" s="239"/>
      <c r="I377" s="239"/>
      <c r="J377" s="210">
        <v>0</v>
      </c>
      <c r="K377" s="209">
        <v>0</v>
      </c>
      <c r="L377" s="209">
        <v>-90830</v>
      </c>
      <c r="M377" s="209">
        <v>0</v>
      </c>
      <c r="N377" s="242">
        <v>0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-91450</v>
      </c>
      <c r="H383" s="239"/>
      <c r="I383" s="239"/>
      <c r="J383" s="210">
        <v>0</v>
      </c>
      <c r="K383" s="209">
        <v>0</v>
      </c>
      <c r="L383" s="209">
        <v>-91450</v>
      </c>
      <c r="M383" s="209">
        <v>0</v>
      </c>
      <c r="N383" s="242">
        <v>0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-194385.55</v>
      </c>
      <c r="H384" s="239"/>
      <c r="I384" s="239"/>
      <c r="J384" s="210">
        <v>0</v>
      </c>
      <c r="K384" s="209">
        <v>0</v>
      </c>
      <c r="L384" s="209">
        <v>-194385.55</v>
      </c>
      <c r="M384" s="209">
        <v>0</v>
      </c>
      <c r="N384" s="242">
        <v>0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-125000</v>
      </c>
      <c r="H385" s="239"/>
      <c r="I385" s="239"/>
      <c r="J385" s="210">
        <v>0</v>
      </c>
      <c r="K385" s="209">
        <v>0</v>
      </c>
      <c r="L385" s="209">
        <v>-125000</v>
      </c>
      <c r="M385" s="209">
        <v>0</v>
      </c>
      <c r="N385" s="242">
        <v>0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-303679.23</v>
      </c>
      <c r="H387" s="239"/>
      <c r="I387" s="239"/>
      <c r="J387" s="210">
        <v>0</v>
      </c>
      <c r="K387" s="209">
        <v>0</v>
      </c>
      <c r="L387" s="209">
        <v>-303679.23</v>
      </c>
      <c r="M387" s="209">
        <v>0</v>
      </c>
      <c r="N387" s="242">
        <v>0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-1005105</v>
      </c>
      <c r="H388" s="239"/>
      <c r="I388" s="239"/>
      <c r="J388" s="210">
        <v>0</v>
      </c>
      <c r="K388" s="209">
        <v>0</v>
      </c>
      <c r="L388" s="209">
        <v>-1005105</v>
      </c>
      <c r="M388" s="209">
        <v>0</v>
      </c>
      <c r="N388" s="242">
        <v>0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-51000</v>
      </c>
      <c r="H389" s="239"/>
      <c r="I389" s="239"/>
      <c r="J389" s="210">
        <v>0</v>
      </c>
      <c r="K389" s="209">
        <v>0</v>
      </c>
      <c r="L389" s="209">
        <v>-51000</v>
      </c>
      <c r="M389" s="209">
        <v>0</v>
      </c>
      <c r="N389" s="242">
        <v>0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-62564</v>
      </c>
      <c r="H390" s="239"/>
      <c r="I390" s="239"/>
      <c r="J390" s="210">
        <v>0</v>
      </c>
      <c r="K390" s="209">
        <v>0</v>
      </c>
      <c r="L390" s="209">
        <v>-62564</v>
      </c>
      <c r="M390" s="209">
        <v>0</v>
      </c>
      <c r="N390" s="242">
        <v>0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-360864.72</v>
      </c>
      <c r="H391" s="239"/>
      <c r="I391" s="239"/>
      <c r="J391" s="210">
        <v>-25874</v>
      </c>
      <c r="K391" s="209">
        <v>0</v>
      </c>
      <c r="L391" s="209">
        <v>-386738.72</v>
      </c>
      <c r="M391" s="209">
        <v>25874.28</v>
      </c>
      <c r="N391" s="242">
        <v>0.28000000000000003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-254011.56</v>
      </c>
      <c r="H392" s="239"/>
      <c r="I392" s="239"/>
      <c r="J392" s="210">
        <v>-18143</v>
      </c>
      <c r="K392" s="209">
        <v>0</v>
      </c>
      <c r="L392" s="209">
        <v>-272154.56</v>
      </c>
      <c r="M392" s="209">
        <v>290287.3</v>
      </c>
      <c r="N392" s="242">
        <v>272144.3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-639500.89</v>
      </c>
      <c r="H393" s="239"/>
      <c r="I393" s="239"/>
      <c r="J393" s="210">
        <v>-45663</v>
      </c>
      <c r="K393" s="209">
        <v>0</v>
      </c>
      <c r="L393" s="209">
        <v>-685163.89</v>
      </c>
      <c r="M393" s="209">
        <v>45663.45</v>
      </c>
      <c r="N393" s="242">
        <v>0.45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-955303.89</v>
      </c>
      <c r="H394" s="239"/>
      <c r="I394" s="239"/>
      <c r="J394" s="210">
        <v>-68286</v>
      </c>
      <c r="K394" s="209">
        <v>0</v>
      </c>
      <c r="L394" s="209">
        <v>-1023589.89</v>
      </c>
      <c r="M394" s="209">
        <v>68286.41</v>
      </c>
      <c r="N394" s="242">
        <v>0.41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-1733172.76</v>
      </c>
      <c r="H395" s="239"/>
      <c r="I395" s="239"/>
      <c r="J395" s="210">
        <v>-123869.58</v>
      </c>
      <c r="K395" s="209">
        <v>0</v>
      </c>
      <c r="L395" s="209">
        <v>-1857042.34</v>
      </c>
      <c r="M395" s="209">
        <v>123869.58</v>
      </c>
      <c r="N395" s="242">
        <v>0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-609736.43999999994</v>
      </c>
      <c r="H396" s="239"/>
      <c r="I396" s="239"/>
      <c r="J396" s="210">
        <v>-43554</v>
      </c>
      <c r="K396" s="209">
        <v>0</v>
      </c>
      <c r="L396" s="209">
        <v>-653290.43999999994</v>
      </c>
      <c r="M396" s="209">
        <v>696862.56</v>
      </c>
      <c r="N396" s="242">
        <v>653308.56000000006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-128100</v>
      </c>
      <c r="H400" s="239"/>
      <c r="I400" s="239"/>
      <c r="J400" s="210">
        <v>0</v>
      </c>
      <c r="K400" s="209">
        <v>0</v>
      </c>
      <c r="L400" s="209">
        <v>-128100</v>
      </c>
      <c r="M400" s="209">
        <v>0</v>
      </c>
      <c r="N400" s="242">
        <v>0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-60000</v>
      </c>
      <c r="H402" s="239"/>
      <c r="I402" s="239"/>
      <c r="J402" s="210">
        <v>0</v>
      </c>
      <c r="K402" s="209">
        <v>0</v>
      </c>
      <c r="L402" s="209">
        <v>-60000</v>
      </c>
      <c r="M402" s="209">
        <v>0</v>
      </c>
      <c r="N402" s="242">
        <v>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-46624</v>
      </c>
      <c r="H403" s="239"/>
      <c r="I403" s="239"/>
      <c r="J403" s="210">
        <v>0</v>
      </c>
      <c r="K403" s="209">
        <v>0</v>
      </c>
      <c r="L403" s="209">
        <v>-46624</v>
      </c>
      <c r="M403" s="209">
        <v>0</v>
      </c>
      <c r="N403" s="242">
        <v>0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-393051.37</v>
      </c>
      <c r="H406" s="239"/>
      <c r="I406" s="239"/>
      <c r="J406" s="210">
        <v>-28938</v>
      </c>
      <c r="K406" s="209">
        <v>0</v>
      </c>
      <c r="L406" s="209">
        <v>-421989.37</v>
      </c>
      <c r="M406" s="209">
        <v>185683.63</v>
      </c>
      <c r="N406" s="242">
        <v>156745.63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-686607.86</v>
      </c>
      <c r="H407" s="239"/>
      <c r="I407" s="239"/>
      <c r="J407" s="210">
        <v>-50862</v>
      </c>
      <c r="K407" s="209">
        <v>0</v>
      </c>
      <c r="L407" s="209">
        <v>-737469.86</v>
      </c>
      <c r="M407" s="209">
        <v>76292.14</v>
      </c>
      <c r="N407" s="242">
        <v>25430.14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-43000</v>
      </c>
      <c r="H415" s="239"/>
      <c r="I415" s="239"/>
      <c r="J415" s="210">
        <v>0</v>
      </c>
      <c r="K415" s="209">
        <v>0</v>
      </c>
      <c r="L415" s="209">
        <v>-43000</v>
      </c>
      <c r="M415" s="209">
        <v>0</v>
      </c>
      <c r="N415" s="242">
        <v>0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-124889.97</v>
      </c>
      <c r="H417" s="239"/>
      <c r="I417" s="239"/>
      <c r="J417" s="210">
        <v>-9366</v>
      </c>
      <c r="K417" s="209">
        <v>0</v>
      </c>
      <c r="L417" s="209">
        <v>-134255.97</v>
      </c>
      <c r="M417" s="209">
        <v>15610.03</v>
      </c>
      <c r="N417" s="242">
        <v>6244.03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-403532.49</v>
      </c>
      <c r="H418" s="239"/>
      <c r="I418" s="239"/>
      <c r="J418" s="210">
        <v>0</v>
      </c>
      <c r="K418" s="209">
        <v>0</v>
      </c>
      <c r="L418" s="209">
        <v>-403532.49</v>
      </c>
      <c r="M418" s="209">
        <v>0</v>
      </c>
      <c r="N418" s="242">
        <v>0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-133733.99</v>
      </c>
      <c r="H420" s="239"/>
      <c r="I420" s="239"/>
      <c r="J420" s="210">
        <v>-10031</v>
      </c>
      <c r="K420" s="209">
        <v>0</v>
      </c>
      <c r="L420" s="209">
        <v>-143764.99</v>
      </c>
      <c r="M420" s="209">
        <v>66874.009999999995</v>
      </c>
      <c r="N420" s="242">
        <v>56843.01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-250000</v>
      </c>
      <c r="H423" s="239"/>
      <c r="I423" s="239"/>
      <c r="J423" s="210">
        <v>0</v>
      </c>
      <c r="K423" s="209">
        <v>0</v>
      </c>
      <c r="L423" s="209">
        <v>-250000</v>
      </c>
      <c r="M423" s="209">
        <v>0</v>
      </c>
      <c r="N423" s="242">
        <v>0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-205000</v>
      </c>
      <c r="H424" s="239"/>
      <c r="I424" s="239"/>
      <c r="J424" s="210">
        <v>0</v>
      </c>
      <c r="K424" s="209">
        <v>0</v>
      </c>
      <c r="L424" s="209">
        <v>-205000</v>
      </c>
      <c r="M424" s="209">
        <v>0</v>
      </c>
      <c r="N424" s="242">
        <v>0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-56474.5</v>
      </c>
      <c r="H426" s="239"/>
      <c r="I426" s="239"/>
      <c r="J426" s="210">
        <v>0</v>
      </c>
      <c r="K426" s="209">
        <v>0</v>
      </c>
      <c r="L426" s="209">
        <v>-56474.5</v>
      </c>
      <c r="M426" s="209">
        <v>0</v>
      </c>
      <c r="N426" s="242">
        <v>0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-160566.29999999999</v>
      </c>
      <c r="H427" s="239"/>
      <c r="I427" s="239"/>
      <c r="J427" s="210">
        <v>-12272</v>
      </c>
      <c r="K427" s="209">
        <v>0</v>
      </c>
      <c r="L427" s="209">
        <v>-172838.3</v>
      </c>
      <c r="M427" s="209">
        <v>23520.7</v>
      </c>
      <c r="N427" s="242">
        <v>11248.7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-82085</v>
      </c>
      <c r="H428" s="239"/>
      <c r="I428" s="239"/>
      <c r="J428" s="210">
        <v>0</v>
      </c>
      <c r="K428" s="209">
        <v>0</v>
      </c>
      <c r="L428" s="209">
        <v>-82085</v>
      </c>
      <c r="M428" s="209">
        <v>0</v>
      </c>
      <c r="N428" s="242">
        <v>0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-30500</v>
      </c>
      <c r="H429" s="239"/>
      <c r="I429" s="239"/>
      <c r="J429" s="210">
        <v>0</v>
      </c>
      <c r="K429" s="209">
        <v>0</v>
      </c>
      <c r="L429" s="209">
        <v>-30500</v>
      </c>
      <c r="M429" s="209">
        <v>0</v>
      </c>
      <c r="N429" s="242">
        <v>0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-110000</v>
      </c>
      <c r="H430" s="239"/>
      <c r="I430" s="239"/>
      <c r="J430" s="210">
        <v>0</v>
      </c>
      <c r="K430" s="209">
        <v>0</v>
      </c>
      <c r="L430" s="209">
        <v>-110000</v>
      </c>
      <c r="M430" s="209">
        <v>0</v>
      </c>
      <c r="N430" s="242">
        <v>0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-46500</v>
      </c>
      <c r="H431" s="239"/>
      <c r="I431" s="239"/>
      <c r="J431" s="210">
        <v>0</v>
      </c>
      <c r="K431" s="209">
        <v>0</v>
      </c>
      <c r="L431" s="209">
        <v>-46500</v>
      </c>
      <c r="M431" s="209">
        <v>0</v>
      </c>
      <c r="N431" s="242">
        <v>0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-150489</v>
      </c>
      <c r="H432" s="239"/>
      <c r="I432" s="239"/>
      <c r="J432" s="210">
        <v>0</v>
      </c>
      <c r="K432" s="209">
        <v>0</v>
      </c>
      <c r="L432" s="209">
        <v>-150489</v>
      </c>
      <c r="M432" s="209">
        <v>0</v>
      </c>
      <c r="N432" s="242">
        <v>0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-627913.51</v>
      </c>
      <c r="H433" s="239"/>
      <c r="I433" s="239"/>
      <c r="J433" s="210">
        <v>-48301</v>
      </c>
      <c r="K433" s="209">
        <v>0</v>
      </c>
      <c r="L433" s="209">
        <v>-676214.51</v>
      </c>
      <c r="M433" s="209">
        <v>96602.49</v>
      </c>
      <c r="N433" s="242">
        <v>48301.49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-260075.15</v>
      </c>
      <c r="H435" s="239"/>
      <c r="I435" s="239"/>
      <c r="J435" s="210">
        <v>-20006</v>
      </c>
      <c r="K435" s="209">
        <v>0</v>
      </c>
      <c r="L435" s="209">
        <v>-280081.15000000002</v>
      </c>
      <c r="M435" s="209">
        <v>40012.85</v>
      </c>
      <c r="N435" s="242">
        <v>20006.849999999999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-57632.26</v>
      </c>
      <c r="H436" s="239"/>
      <c r="I436" s="239"/>
      <c r="J436" s="210">
        <v>-4434</v>
      </c>
      <c r="K436" s="209">
        <v>0</v>
      </c>
      <c r="L436" s="209">
        <v>-62066.26</v>
      </c>
      <c r="M436" s="209">
        <v>8867.74</v>
      </c>
      <c r="N436" s="242">
        <v>4433.74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-57632.26</v>
      </c>
      <c r="H437" s="239"/>
      <c r="I437" s="239"/>
      <c r="J437" s="210">
        <v>-4434</v>
      </c>
      <c r="K437" s="209">
        <v>0</v>
      </c>
      <c r="L437" s="209">
        <v>-62066.26</v>
      </c>
      <c r="M437" s="209">
        <v>8867.74</v>
      </c>
      <c r="N437" s="242">
        <v>4433.74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-57632.26</v>
      </c>
      <c r="H438" s="239"/>
      <c r="I438" s="239"/>
      <c r="J438" s="210">
        <v>-4434</v>
      </c>
      <c r="K438" s="209">
        <v>0</v>
      </c>
      <c r="L438" s="209">
        <v>-62066.26</v>
      </c>
      <c r="M438" s="209">
        <v>8867.74</v>
      </c>
      <c r="N438" s="242">
        <v>4433.74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-57632.26</v>
      </c>
      <c r="H439" s="239"/>
      <c r="I439" s="239"/>
      <c r="J439" s="210">
        <v>-4434</v>
      </c>
      <c r="K439" s="209">
        <v>0</v>
      </c>
      <c r="L439" s="209">
        <v>-62066.26</v>
      </c>
      <c r="M439" s="209">
        <v>8867.74</v>
      </c>
      <c r="N439" s="242">
        <v>4433.74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-57632.26</v>
      </c>
      <c r="H440" s="239"/>
      <c r="I440" s="239"/>
      <c r="J440" s="210">
        <v>-4434</v>
      </c>
      <c r="K440" s="209">
        <v>0</v>
      </c>
      <c r="L440" s="209">
        <v>-62066.26</v>
      </c>
      <c r="M440" s="209">
        <v>8867.74</v>
      </c>
      <c r="N440" s="242">
        <v>4433.74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-57632.26</v>
      </c>
      <c r="H441" s="239"/>
      <c r="I441" s="239"/>
      <c r="J441" s="210">
        <v>-4434</v>
      </c>
      <c r="K441" s="209">
        <v>0</v>
      </c>
      <c r="L441" s="209">
        <v>-62066.26</v>
      </c>
      <c r="M441" s="209">
        <v>8867.74</v>
      </c>
      <c r="N441" s="242">
        <v>4433.74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-57632.26</v>
      </c>
      <c r="H442" s="239"/>
      <c r="I442" s="239"/>
      <c r="J442" s="210">
        <v>-4434</v>
      </c>
      <c r="K442" s="209">
        <v>0</v>
      </c>
      <c r="L442" s="209">
        <v>-62066.26</v>
      </c>
      <c r="M442" s="209">
        <v>8867.74</v>
      </c>
      <c r="N442" s="242">
        <v>4433.74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-57632.26</v>
      </c>
      <c r="H443" s="239"/>
      <c r="I443" s="239"/>
      <c r="J443" s="210">
        <v>-4434</v>
      </c>
      <c r="K443" s="209">
        <v>0</v>
      </c>
      <c r="L443" s="209">
        <v>-62066.26</v>
      </c>
      <c r="M443" s="209">
        <v>8867.74</v>
      </c>
      <c r="N443" s="242">
        <v>4433.74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-273222.55</v>
      </c>
      <c r="H444" s="239"/>
      <c r="I444" s="239"/>
      <c r="J444" s="210">
        <v>-21018</v>
      </c>
      <c r="K444" s="209">
        <v>0</v>
      </c>
      <c r="L444" s="209">
        <v>-294240.55</v>
      </c>
      <c r="M444" s="209">
        <v>147126.45000000001</v>
      </c>
      <c r="N444" s="242">
        <v>126108.45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-68000</v>
      </c>
      <c r="H447" s="239"/>
      <c r="I447" s="239"/>
      <c r="J447" s="210">
        <v>0</v>
      </c>
      <c r="K447" s="209">
        <v>0</v>
      </c>
      <c r="L447" s="209">
        <v>-68000</v>
      </c>
      <c r="M447" s="209">
        <v>0</v>
      </c>
      <c r="N447" s="242">
        <v>0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-175100</v>
      </c>
      <c r="H450" s="239"/>
      <c r="I450" s="239"/>
      <c r="J450" s="210">
        <v>0</v>
      </c>
      <c r="K450" s="209">
        <v>0</v>
      </c>
      <c r="L450" s="209">
        <v>-175100</v>
      </c>
      <c r="M450" s="209">
        <v>0</v>
      </c>
      <c r="N450" s="242">
        <v>0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-75350</v>
      </c>
      <c r="H465" s="239"/>
      <c r="I465" s="239"/>
      <c r="J465" s="210">
        <v>0</v>
      </c>
      <c r="K465" s="209">
        <v>0</v>
      </c>
      <c r="L465" s="209">
        <v>-75350</v>
      </c>
      <c r="M465" s="209">
        <v>0</v>
      </c>
      <c r="N465" s="242">
        <v>0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-75350</v>
      </c>
      <c r="H466" s="239"/>
      <c r="I466" s="239"/>
      <c r="J466" s="210">
        <v>0</v>
      </c>
      <c r="K466" s="209">
        <v>0</v>
      </c>
      <c r="L466" s="209">
        <v>-75350</v>
      </c>
      <c r="M466" s="209">
        <v>0</v>
      </c>
      <c r="N466" s="242">
        <v>0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-75350</v>
      </c>
      <c r="H467" s="239"/>
      <c r="I467" s="239"/>
      <c r="J467" s="210">
        <v>0</v>
      </c>
      <c r="K467" s="209">
        <v>0</v>
      </c>
      <c r="L467" s="209">
        <v>-75350</v>
      </c>
      <c r="M467" s="209">
        <v>0</v>
      </c>
      <c r="N467" s="242">
        <v>0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-75350</v>
      </c>
      <c r="H468" s="239"/>
      <c r="I468" s="239"/>
      <c r="J468" s="210">
        <v>0</v>
      </c>
      <c r="K468" s="209">
        <v>0</v>
      </c>
      <c r="L468" s="209">
        <v>-75350</v>
      </c>
      <c r="M468" s="209">
        <v>0</v>
      </c>
      <c r="N468" s="242">
        <v>0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-76383</v>
      </c>
      <c r="H469" s="239"/>
      <c r="I469" s="239"/>
      <c r="J469" s="210">
        <v>0</v>
      </c>
      <c r="K469" s="209">
        <v>0</v>
      </c>
      <c r="L469" s="209">
        <v>-76383</v>
      </c>
      <c r="M469" s="209">
        <v>0</v>
      </c>
      <c r="N469" s="242">
        <v>0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-76383</v>
      </c>
      <c r="H470" s="239"/>
      <c r="I470" s="239"/>
      <c r="J470" s="210">
        <v>0</v>
      </c>
      <c r="K470" s="209">
        <v>0</v>
      </c>
      <c r="L470" s="209">
        <v>-76383</v>
      </c>
      <c r="M470" s="209">
        <v>0</v>
      </c>
      <c r="N470" s="242">
        <v>0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-76383</v>
      </c>
      <c r="H471" s="239"/>
      <c r="I471" s="239"/>
      <c r="J471" s="210">
        <v>0</v>
      </c>
      <c r="K471" s="209">
        <v>0</v>
      </c>
      <c r="L471" s="209">
        <v>-76383</v>
      </c>
      <c r="M471" s="209">
        <v>0</v>
      </c>
      <c r="N471" s="242">
        <v>0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-33519</v>
      </c>
      <c r="H473" s="239"/>
      <c r="I473" s="239"/>
      <c r="J473" s="210">
        <v>0</v>
      </c>
      <c r="K473" s="209">
        <v>0</v>
      </c>
      <c r="L473" s="209">
        <v>-33519</v>
      </c>
      <c r="M473" s="209">
        <v>0</v>
      </c>
      <c r="N473" s="242">
        <v>0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-164052.29</v>
      </c>
      <c r="H483" s="239"/>
      <c r="I483" s="239"/>
      <c r="J483" s="210">
        <v>-13672</v>
      </c>
      <c r="K483" s="209">
        <v>0</v>
      </c>
      <c r="L483" s="209">
        <v>-177724.29</v>
      </c>
      <c r="M483" s="209">
        <v>41015.71</v>
      </c>
      <c r="N483" s="242">
        <v>27343.71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-52832</v>
      </c>
      <c r="H484" s="239"/>
      <c r="I484" s="239"/>
      <c r="J484" s="210">
        <v>0</v>
      </c>
      <c r="K484" s="209">
        <v>0</v>
      </c>
      <c r="L484" s="209">
        <v>-52832</v>
      </c>
      <c r="M484" s="209">
        <v>0</v>
      </c>
      <c r="N484" s="242">
        <v>0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-50050.09</v>
      </c>
      <c r="H485" s="239"/>
      <c r="I485" s="239"/>
      <c r="J485" s="210">
        <v>-4170</v>
      </c>
      <c r="K485" s="209">
        <v>0</v>
      </c>
      <c r="L485" s="209">
        <v>-54220.09</v>
      </c>
      <c r="M485" s="209">
        <v>12509.91</v>
      </c>
      <c r="N485" s="242">
        <v>8339.91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-50050.09</v>
      </c>
      <c r="H486" s="239"/>
      <c r="I486" s="239"/>
      <c r="J486" s="210">
        <v>-4170</v>
      </c>
      <c r="K486" s="209">
        <v>0</v>
      </c>
      <c r="L486" s="209">
        <v>-54220.09</v>
      </c>
      <c r="M486" s="209">
        <v>12509.91</v>
      </c>
      <c r="N486" s="242">
        <v>8339.91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-50050.09</v>
      </c>
      <c r="H487" s="239"/>
      <c r="I487" s="239"/>
      <c r="J487" s="210">
        <v>-4170</v>
      </c>
      <c r="K487" s="209">
        <v>0</v>
      </c>
      <c r="L487" s="209">
        <v>-54220.09</v>
      </c>
      <c r="M487" s="209">
        <v>12509.91</v>
      </c>
      <c r="N487" s="242">
        <v>8339.91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-50050.09</v>
      </c>
      <c r="H488" s="239"/>
      <c r="I488" s="239"/>
      <c r="J488" s="210">
        <v>-4170</v>
      </c>
      <c r="K488" s="209">
        <v>0</v>
      </c>
      <c r="L488" s="209">
        <v>-54220.09</v>
      </c>
      <c r="M488" s="209">
        <v>12509.91</v>
      </c>
      <c r="N488" s="242">
        <v>8339.91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-50050.09</v>
      </c>
      <c r="H489" s="239"/>
      <c r="I489" s="239"/>
      <c r="J489" s="210">
        <v>-4170</v>
      </c>
      <c r="K489" s="209">
        <v>0</v>
      </c>
      <c r="L489" s="209">
        <v>-54220.09</v>
      </c>
      <c r="M489" s="209">
        <v>12509.91</v>
      </c>
      <c r="N489" s="242">
        <v>8339.91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-50050.09</v>
      </c>
      <c r="H490" s="239"/>
      <c r="I490" s="239"/>
      <c r="J490" s="210">
        <v>-4170</v>
      </c>
      <c r="K490" s="209">
        <v>0</v>
      </c>
      <c r="L490" s="209">
        <v>-54220.09</v>
      </c>
      <c r="M490" s="209">
        <v>12509.91</v>
      </c>
      <c r="N490" s="242">
        <v>8339.91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-50050.09</v>
      </c>
      <c r="H491" s="239"/>
      <c r="I491" s="239"/>
      <c r="J491" s="210">
        <v>-4170</v>
      </c>
      <c r="K491" s="209">
        <v>0</v>
      </c>
      <c r="L491" s="209">
        <v>-54220.09</v>
      </c>
      <c r="M491" s="209">
        <v>12509.91</v>
      </c>
      <c r="N491" s="242">
        <v>8339.91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-50050.09</v>
      </c>
      <c r="H492" s="239"/>
      <c r="I492" s="239"/>
      <c r="J492" s="210">
        <v>-4170</v>
      </c>
      <c r="K492" s="209">
        <v>0</v>
      </c>
      <c r="L492" s="209">
        <v>-54220.09</v>
      </c>
      <c r="M492" s="209">
        <v>12509.91</v>
      </c>
      <c r="N492" s="242">
        <v>8339.91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-50050.09</v>
      </c>
      <c r="H493" s="239"/>
      <c r="I493" s="239"/>
      <c r="J493" s="210">
        <v>-4170</v>
      </c>
      <c r="K493" s="209">
        <v>0</v>
      </c>
      <c r="L493" s="209">
        <v>-54220.09</v>
      </c>
      <c r="M493" s="209">
        <v>12509.91</v>
      </c>
      <c r="N493" s="242">
        <v>8339.91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-50050.09</v>
      </c>
      <c r="H494" s="239"/>
      <c r="I494" s="239"/>
      <c r="J494" s="210">
        <v>-4170</v>
      </c>
      <c r="K494" s="209">
        <v>0</v>
      </c>
      <c r="L494" s="209">
        <v>-54220.09</v>
      </c>
      <c r="M494" s="209">
        <v>12509.91</v>
      </c>
      <c r="N494" s="242">
        <v>8339.91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-50050.09</v>
      </c>
      <c r="H495" s="239"/>
      <c r="I495" s="239"/>
      <c r="J495" s="210">
        <v>-4170</v>
      </c>
      <c r="K495" s="209">
        <v>0</v>
      </c>
      <c r="L495" s="209">
        <v>-54220.09</v>
      </c>
      <c r="M495" s="209">
        <v>12509.91</v>
      </c>
      <c r="N495" s="242">
        <v>8339.91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-50050.09</v>
      </c>
      <c r="H496" s="239"/>
      <c r="I496" s="239"/>
      <c r="J496" s="210">
        <v>-4170</v>
      </c>
      <c r="K496" s="209">
        <v>0</v>
      </c>
      <c r="L496" s="209">
        <v>-54220.09</v>
      </c>
      <c r="M496" s="209">
        <v>12509.91</v>
      </c>
      <c r="N496" s="242">
        <v>8339.91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-50050.09</v>
      </c>
      <c r="H497" s="239"/>
      <c r="I497" s="239"/>
      <c r="J497" s="210">
        <v>-4170</v>
      </c>
      <c r="K497" s="209">
        <v>0</v>
      </c>
      <c r="L497" s="209">
        <v>-54220.09</v>
      </c>
      <c r="M497" s="209">
        <v>12509.91</v>
      </c>
      <c r="N497" s="242">
        <v>8339.91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-50050.09</v>
      </c>
      <c r="H498" s="239"/>
      <c r="I498" s="239"/>
      <c r="J498" s="210">
        <v>-4170</v>
      </c>
      <c r="K498" s="209">
        <v>0</v>
      </c>
      <c r="L498" s="209">
        <v>-54220.09</v>
      </c>
      <c r="M498" s="209">
        <v>12509.91</v>
      </c>
      <c r="N498" s="242">
        <v>8339.91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-175800</v>
      </c>
      <c r="H500" s="239"/>
      <c r="I500" s="239"/>
      <c r="J500" s="210">
        <v>0</v>
      </c>
      <c r="K500" s="209">
        <v>0</v>
      </c>
      <c r="L500" s="209">
        <v>-175800</v>
      </c>
      <c r="M500" s="209">
        <v>0</v>
      </c>
      <c r="N500" s="242">
        <v>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-452618.96</v>
      </c>
      <c r="H502" s="239"/>
      <c r="I502" s="239"/>
      <c r="J502" s="210">
        <v>-39090</v>
      </c>
      <c r="K502" s="209">
        <v>0</v>
      </c>
      <c r="L502" s="209">
        <v>-491708.96</v>
      </c>
      <c r="M502" s="209">
        <v>133557.85</v>
      </c>
      <c r="N502" s="242">
        <v>94467.85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-259718.45</v>
      </c>
      <c r="H503" s="239"/>
      <c r="I503" s="239"/>
      <c r="J503" s="210">
        <v>-12079.77</v>
      </c>
      <c r="K503" s="209">
        <v>0</v>
      </c>
      <c r="L503" s="209">
        <v>-271798.21999999997</v>
      </c>
      <c r="M503" s="209">
        <v>12079.77</v>
      </c>
      <c r="N503" s="242">
        <v>0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-86764.85</v>
      </c>
      <c r="H504" s="239"/>
      <c r="I504" s="239"/>
      <c r="J504" s="210">
        <v>0</v>
      </c>
      <c r="K504" s="209">
        <v>0</v>
      </c>
      <c r="L504" s="209">
        <v>-86764.85</v>
      </c>
      <c r="M504" s="209">
        <v>0</v>
      </c>
      <c r="N504" s="242">
        <v>0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-1000000</v>
      </c>
      <c r="H505" s="239"/>
      <c r="I505" s="239"/>
      <c r="J505" s="210">
        <v>0</v>
      </c>
      <c r="K505" s="209">
        <v>0</v>
      </c>
      <c r="L505" s="209">
        <v>-1000000</v>
      </c>
      <c r="M505" s="209">
        <v>0</v>
      </c>
      <c r="N505" s="242">
        <v>0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-259436</v>
      </c>
      <c r="H507" s="239"/>
      <c r="I507" s="239"/>
      <c r="J507" s="210">
        <v>0</v>
      </c>
      <c r="K507" s="209">
        <v>0</v>
      </c>
      <c r="L507" s="209">
        <v>-259436</v>
      </c>
      <c r="M507" s="209">
        <v>0</v>
      </c>
      <c r="N507" s="242">
        <v>0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-228654</v>
      </c>
      <c r="H509" s="239"/>
      <c r="I509" s="239"/>
      <c r="J509" s="210">
        <v>0</v>
      </c>
      <c r="K509" s="209">
        <v>0</v>
      </c>
      <c r="L509" s="209">
        <v>-228654</v>
      </c>
      <c r="M509" s="209">
        <v>0</v>
      </c>
      <c r="N509" s="242">
        <v>0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-260000</v>
      </c>
      <c r="H510" s="239"/>
      <c r="I510" s="239"/>
      <c r="J510" s="210">
        <v>0</v>
      </c>
      <c r="K510" s="209">
        <v>0</v>
      </c>
      <c r="L510" s="209">
        <v>-260000</v>
      </c>
      <c r="M510" s="209">
        <v>0</v>
      </c>
      <c r="N510" s="242">
        <v>0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-142269.65</v>
      </c>
      <c r="H513" s="239"/>
      <c r="I513" s="239"/>
      <c r="J513" s="210">
        <v>0</v>
      </c>
      <c r="K513" s="209">
        <v>0</v>
      </c>
      <c r="L513" s="209">
        <v>-142269.65</v>
      </c>
      <c r="M513" s="209">
        <v>0</v>
      </c>
      <c r="N513" s="242">
        <v>0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-22820.75</v>
      </c>
      <c r="H514" s="239"/>
      <c r="I514" s="239"/>
      <c r="J514" s="210">
        <v>0</v>
      </c>
      <c r="K514" s="209">
        <v>0</v>
      </c>
      <c r="L514" s="209">
        <v>-22820.75</v>
      </c>
      <c r="M514" s="209">
        <v>0</v>
      </c>
      <c r="N514" s="242">
        <v>0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-28030.66</v>
      </c>
      <c r="H515" s="239"/>
      <c r="I515" s="239"/>
      <c r="J515" s="210">
        <v>0</v>
      </c>
      <c r="K515" s="209">
        <v>0</v>
      </c>
      <c r="L515" s="209">
        <v>-28030.66</v>
      </c>
      <c r="M515" s="209">
        <v>0</v>
      </c>
      <c r="N515" s="242">
        <v>0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-45641.36</v>
      </c>
      <c r="H516" s="239"/>
      <c r="I516" s="239"/>
      <c r="J516" s="210">
        <v>0</v>
      </c>
      <c r="K516" s="209">
        <v>0</v>
      </c>
      <c r="L516" s="209">
        <v>-45641.36</v>
      </c>
      <c r="M516" s="209">
        <v>0</v>
      </c>
      <c r="N516" s="242">
        <v>0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-49503.48</v>
      </c>
      <c r="H517" s="239"/>
      <c r="I517" s="239"/>
      <c r="J517" s="210">
        <v>-4434</v>
      </c>
      <c r="K517" s="209">
        <v>0</v>
      </c>
      <c r="L517" s="209">
        <v>-53937.48</v>
      </c>
      <c r="M517" s="209">
        <v>16996.52</v>
      </c>
      <c r="N517" s="242">
        <v>12562.52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-49503.48</v>
      </c>
      <c r="H518" s="239"/>
      <c r="I518" s="239"/>
      <c r="J518" s="210">
        <v>-4434</v>
      </c>
      <c r="K518" s="209">
        <v>0</v>
      </c>
      <c r="L518" s="209">
        <v>-53937.48</v>
      </c>
      <c r="M518" s="209">
        <v>16996.52</v>
      </c>
      <c r="N518" s="242">
        <v>12562.52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-49503.48</v>
      </c>
      <c r="H519" s="239"/>
      <c r="I519" s="239"/>
      <c r="J519" s="210">
        <v>-4434</v>
      </c>
      <c r="K519" s="209">
        <v>0</v>
      </c>
      <c r="L519" s="209">
        <v>-53937.48</v>
      </c>
      <c r="M519" s="209">
        <v>16996.52</v>
      </c>
      <c r="N519" s="242">
        <v>12562.52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-49503.48</v>
      </c>
      <c r="H520" s="239"/>
      <c r="I520" s="239"/>
      <c r="J520" s="210">
        <v>-4434</v>
      </c>
      <c r="K520" s="209">
        <v>0</v>
      </c>
      <c r="L520" s="209">
        <v>-53937.48</v>
      </c>
      <c r="M520" s="209">
        <v>16996.52</v>
      </c>
      <c r="N520" s="242">
        <v>12562.52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-49503.48</v>
      </c>
      <c r="H521" s="239"/>
      <c r="I521" s="239"/>
      <c r="J521" s="210">
        <v>-4434</v>
      </c>
      <c r="K521" s="209">
        <v>0</v>
      </c>
      <c r="L521" s="209">
        <v>-53937.48</v>
      </c>
      <c r="M521" s="209">
        <v>16996.52</v>
      </c>
      <c r="N521" s="242">
        <v>12562.52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-236739.39</v>
      </c>
      <c r="H522" s="239"/>
      <c r="I522" s="239"/>
      <c r="J522" s="210">
        <v>-21199</v>
      </c>
      <c r="K522" s="209">
        <v>0</v>
      </c>
      <c r="L522" s="209">
        <v>-257938.39</v>
      </c>
      <c r="M522" s="209">
        <v>187260.61</v>
      </c>
      <c r="N522" s="242">
        <v>166061.60999999999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-50616.959999999999</v>
      </c>
      <c r="H523" s="239"/>
      <c r="I523" s="239"/>
      <c r="J523" s="210">
        <v>-4566</v>
      </c>
      <c r="K523" s="209">
        <v>0</v>
      </c>
      <c r="L523" s="209">
        <v>-55182.96</v>
      </c>
      <c r="M523" s="209">
        <v>17883.04</v>
      </c>
      <c r="N523" s="242">
        <v>13317.04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-50616.959999999999</v>
      </c>
      <c r="H524" s="239"/>
      <c r="I524" s="239"/>
      <c r="J524" s="210">
        <v>-4566</v>
      </c>
      <c r="K524" s="209">
        <v>0</v>
      </c>
      <c r="L524" s="209">
        <v>-55182.96</v>
      </c>
      <c r="M524" s="209">
        <v>17883.04</v>
      </c>
      <c r="N524" s="242">
        <v>13317.04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-50616.959999999999</v>
      </c>
      <c r="H525" s="239"/>
      <c r="I525" s="239"/>
      <c r="J525" s="210">
        <v>-4566</v>
      </c>
      <c r="K525" s="209">
        <v>0</v>
      </c>
      <c r="L525" s="209">
        <v>-55182.96</v>
      </c>
      <c r="M525" s="209">
        <v>17883.04</v>
      </c>
      <c r="N525" s="242">
        <v>13317.04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-50616.959999999999</v>
      </c>
      <c r="H526" s="239"/>
      <c r="I526" s="239"/>
      <c r="J526" s="210">
        <v>-4566</v>
      </c>
      <c r="K526" s="209">
        <v>0</v>
      </c>
      <c r="L526" s="209">
        <v>-55182.96</v>
      </c>
      <c r="M526" s="209">
        <v>17883.04</v>
      </c>
      <c r="N526" s="242">
        <v>13317.04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-50616.959999999999</v>
      </c>
      <c r="H527" s="239"/>
      <c r="I527" s="239"/>
      <c r="J527" s="210">
        <v>-4566</v>
      </c>
      <c r="K527" s="209">
        <v>0</v>
      </c>
      <c r="L527" s="209">
        <v>-55182.96</v>
      </c>
      <c r="M527" s="209">
        <v>17883.04</v>
      </c>
      <c r="N527" s="242">
        <v>13317.04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-50616.959999999999</v>
      </c>
      <c r="H528" s="239"/>
      <c r="I528" s="239"/>
      <c r="J528" s="210">
        <v>-4566</v>
      </c>
      <c r="K528" s="209">
        <v>0</v>
      </c>
      <c r="L528" s="209">
        <v>-55182.96</v>
      </c>
      <c r="M528" s="209">
        <v>17883.04</v>
      </c>
      <c r="N528" s="242">
        <v>13317.04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-50616.959999999999</v>
      </c>
      <c r="H529" s="239"/>
      <c r="I529" s="239"/>
      <c r="J529" s="210">
        <v>-4566</v>
      </c>
      <c r="K529" s="209">
        <v>0</v>
      </c>
      <c r="L529" s="209">
        <v>-55182.96</v>
      </c>
      <c r="M529" s="209">
        <v>17883.04</v>
      </c>
      <c r="N529" s="242">
        <v>13317.04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-50616.959999999999</v>
      </c>
      <c r="H530" s="239"/>
      <c r="I530" s="239"/>
      <c r="J530" s="210">
        <v>-4566</v>
      </c>
      <c r="K530" s="209">
        <v>0</v>
      </c>
      <c r="L530" s="209">
        <v>-55182.96</v>
      </c>
      <c r="M530" s="209">
        <v>17883.04</v>
      </c>
      <c r="N530" s="242">
        <v>13317.04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-50616.959999999999</v>
      </c>
      <c r="H531" s="239"/>
      <c r="I531" s="239"/>
      <c r="J531" s="210">
        <v>-4566</v>
      </c>
      <c r="K531" s="209">
        <v>0</v>
      </c>
      <c r="L531" s="209">
        <v>-55182.96</v>
      </c>
      <c r="M531" s="209">
        <v>17883.04</v>
      </c>
      <c r="N531" s="242">
        <v>13317.04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-50616.959999999999</v>
      </c>
      <c r="H532" s="239"/>
      <c r="I532" s="239"/>
      <c r="J532" s="210">
        <v>-4566</v>
      </c>
      <c r="K532" s="209">
        <v>0</v>
      </c>
      <c r="L532" s="209">
        <v>-55182.96</v>
      </c>
      <c r="M532" s="209">
        <v>17883.04</v>
      </c>
      <c r="N532" s="242">
        <v>13317.04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-33200</v>
      </c>
      <c r="H534" s="239"/>
      <c r="I534" s="239"/>
      <c r="J534" s="210">
        <v>0</v>
      </c>
      <c r="K534" s="209">
        <v>0</v>
      </c>
      <c r="L534" s="209">
        <v>-33200</v>
      </c>
      <c r="M534" s="209">
        <v>0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-399000</v>
      </c>
      <c r="H535" s="239"/>
      <c r="I535" s="239"/>
      <c r="J535" s="210">
        <v>0</v>
      </c>
      <c r="K535" s="209">
        <v>0</v>
      </c>
      <c r="L535" s="209">
        <v>-399000</v>
      </c>
      <c r="M535" s="209">
        <v>0</v>
      </c>
      <c r="N535" s="242">
        <v>0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-25275</v>
      </c>
      <c r="H536" s="239"/>
      <c r="I536" s="239"/>
      <c r="J536" s="210">
        <v>0</v>
      </c>
      <c r="K536" s="209">
        <v>0</v>
      </c>
      <c r="L536" s="209">
        <v>-25275</v>
      </c>
      <c r="M536" s="209">
        <v>0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-78161</v>
      </c>
      <c r="H537" s="239"/>
      <c r="I537" s="239"/>
      <c r="J537" s="210">
        <v>0</v>
      </c>
      <c r="K537" s="209">
        <v>0</v>
      </c>
      <c r="L537" s="209">
        <v>-78161</v>
      </c>
      <c r="M537" s="209">
        <v>0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-78500</v>
      </c>
      <c r="H538" s="239"/>
      <c r="I538" s="239"/>
      <c r="J538" s="210">
        <v>0</v>
      </c>
      <c r="K538" s="209">
        <v>0</v>
      </c>
      <c r="L538" s="209">
        <v>-78500</v>
      </c>
      <c r="M538" s="209">
        <v>0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-159973.20000000001</v>
      </c>
      <c r="H539" s="239"/>
      <c r="I539" s="239"/>
      <c r="J539" s="210">
        <v>0</v>
      </c>
      <c r="K539" s="209">
        <v>0</v>
      </c>
      <c r="L539" s="209">
        <v>-159973.20000000001</v>
      </c>
      <c r="M539" s="209">
        <v>0</v>
      </c>
      <c r="N539" s="242">
        <v>0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-45500</v>
      </c>
      <c r="H540" s="239"/>
      <c r="I540" s="239"/>
      <c r="J540" s="210">
        <v>0</v>
      </c>
      <c r="K540" s="209">
        <v>0</v>
      </c>
      <c r="L540" s="209">
        <v>-45500</v>
      </c>
      <c r="M540" s="209">
        <v>0</v>
      </c>
      <c r="N540" s="242">
        <v>0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-75200</v>
      </c>
      <c r="H541" s="239"/>
      <c r="I541" s="239"/>
      <c r="J541" s="210">
        <v>0</v>
      </c>
      <c r="K541" s="209">
        <v>0</v>
      </c>
      <c r="L541" s="209">
        <v>-75200</v>
      </c>
      <c r="M541" s="209">
        <v>0</v>
      </c>
      <c r="N541" s="242">
        <v>0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-71100</v>
      </c>
      <c r="H542" s="239"/>
      <c r="I542" s="239"/>
      <c r="J542" s="210">
        <v>0</v>
      </c>
      <c r="K542" s="209">
        <v>0</v>
      </c>
      <c r="L542" s="209">
        <v>-71100</v>
      </c>
      <c r="M542" s="209">
        <v>0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-35550</v>
      </c>
      <c r="H543" s="239"/>
      <c r="I543" s="239"/>
      <c r="J543" s="210">
        <v>0</v>
      </c>
      <c r="K543" s="209">
        <v>0</v>
      </c>
      <c r="L543" s="209">
        <v>-35550</v>
      </c>
      <c r="M543" s="209">
        <v>0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-35550</v>
      </c>
      <c r="H544" s="239"/>
      <c r="I544" s="239"/>
      <c r="J544" s="210">
        <v>0</v>
      </c>
      <c r="K544" s="209">
        <v>0</v>
      </c>
      <c r="L544" s="209">
        <v>-35550</v>
      </c>
      <c r="M544" s="209">
        <v>0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-41400</v>
      </c>
      <c r="H545" s="239"/>
      <c r="I545" s="239"/>
      <c r="J545" s="210">
        <v>0</v>
      </c>
      <c r="K545" s="209">
        <v>0</v>
      </c>
      <c r="L545" s="209">
        <v>-41400</v>
      </c>
      <c r="M545" s="209">
        <v>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-174447</v>
      </c>
      <c r="H546" s="239"/>
      <c r="I546" s="239"/>
      <c r="J546" s="210">
        <v>0</v>
      </c>
      <c r="K546" s="209">
        <v>0</v>
      </c>
      <c r="L546" s="209">
        <v>-174447</v>
      </c>
      <c r="M546" s="209">
        <v>0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-189600</v>
      </c>
      <c r="H586" s="239"/>
      <c r="I586" s="239"/>
      <c r="J586" s="210">
        <v>0</v>
      </c>
      <c r="K586" s="209">
        <v>0</v>
      </c>
      <c r="L586" s="209">
        <v>-189600</v>
      </c>
      <c r="M586" s="209">
        <v>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-542510.68999999994</v>
      </c>
      <c r="H587" s="239"/>
      <c r="I587" s="239"/>
      <c r="J587" s="210">
        <v>0</v>
      </c>
      <c r="K587" s="209">
        <v>0</v>
      </c>
      <c r="L587" s="209">
        <v>-542510.68999999994</v>
      </c>
      <c r="M587" s="209">
        <v>0</v>
      </c>
      <c r="N587" s="242">
        <v>0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-492048.32</v>
      </c>
      <c r="H588" s="239"/>
      <c r="I588" s="239"/>
      <c r="J588" s="210">
        <v>-49206</v>
      </c>
      <c r="K588" s="209">
        <v>0</v>
      </c>
      <c r="L588" s="209">
        <v>-541254.31999999995</v>
      </c>
      <c r="M588" s="209">
        <v>246030.41</v>
      </c>
      <c r="N588" s="242">
        <v>196824.41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-128215</v>
      </c>
      <c r="H589" s="239"/>
      <c r="I589" s="239"/>
      <c r="J589" s="210">
        <v>0</v>
      </c>
      <c r="K589" s="209">
        <v>0</v>
      </c>
      <c r="L589" s="209">
        <v>-128215</v>
      </c>
      <c r="M589" s="209">
        <v>0</v>
      </c>
      <c r="N589" s="242">
        <v>0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-9071.1200000000008</v>
      </c>
      <c r="H590" s="239"/>
      <c r="I590" s="239"/>
      <c r="J590" s="210">
        <v>0</v>
      </c>
      <c r="K590" s="209">
        <v>0</v>
      </c>
      <c r="L590" s="209">
        <v>-9071.1200000000008</v>
      </c>
      <c r="M590" s="209">
        <v>0</v>
      </c>
      <c r="N590" s="242">
        <v>0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-26512.98</v>
      </c>
      <c r="H591" s="239"/>
      <c r="I591" s="239"/>
      <c r="J591" s="210">
        <v>0</v>
      </c>
      <c r="K591" s="209">
        <v>0</v>
      </c>
      <c r="L591" s="209">
        <v>-26512.98</v>
      </c>
      <c r="M591" s="209">
        <v>0</v>
      </c>
      <c r="N591" s="242">
        <v>0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-65900</v>
      </c>
      <c r="H592" s="239"/>
      <c r="I592" s="239"/>
      <c r="J592" s="210">
        <v>0</v>
      </c>
      <c r="K592" s="209">
        <v>0</v>
      </c>
      <c r="L592" s="209">
        <v>-65900</v>
      </c>
      <c r="M592" s="209">
        <v>0</v>
      </c>
      <c r="N592" s="242">
        <v>0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-39502.5</v>
      </c>
      <c r="H593" s="239"/>
      <c r="I593" s="239"/>
      <c r="J593" s="210">
        <v>0</v>
      </c>
      <c r="K593" s="209">
        <v>0</v>
      </c>
      <c r="L593" s="209">
        <v>-39502.5</v>
      </c>
      <c r="M593" s="209">
        <v>0</v>
      </c>
      <c r="N593" s="242">
        <v>0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-260999</v>
      </c>
      <c r="H594" s="239"/>
      <c r="I594" s="239"/>
      <c r="J594" s="210">
        <v>-16167</v>
      </c>
      <c r="K594" s="209">
        <v>0</v>
      </c>
      <c r="L594" s="209">
        <v>-277166</v>
      </c>
      <c r="M594" s="209">
        <v>16167</v>
      </c>
      <c r="N594" s="242">
        <v>0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-82545</v>
      </c>
      <c r="H595" s="239"/>
      <c r="I595" s="239"/>
      <c r="J595" s="210">
        <v>0</v>
      </c>
      <c r="K595" s="209">
        <v>0</v>
      </c>
      <c r="L595" s="209">
        <v>-82545</v>
      </c>
      <c r="M595" s="209">
        <v>0</v>
      </c>
      <c r="N595" s="242">
        <v>0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-553135</v>
      </c>
      <c r="H596" s="239"/>
      <c r="I596" s="239"/>
      <c r="J596" s="210">
        <v>-34265</v>
      </c>
      <c r="K596" s="209">
        <v>0</v>
      </c>
      <c r="L596" s="209">
        <v>-587400</v>
      </c>
      <c r="M596" s="209">
        <v>34265</v>
      </c>
      <c r="N596" s="242">
        <v>0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-205400</v>
      </c>
      <c r="H597" s="239"/>
      <c r="I597" s="239"/>
      <c r="J597" s="210">
        <v>0</v>
      </c>
      <c r="K597" s="209">
        <v>0</v>
      </c>
      <c r="L597" s="209">
        <v>-205400</v>
      </c>
      <c r="M597" s="209">
        <v>0</v>
      </c>
      <c r="N597" s="242">
        <v>0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-100272</v>
      </c>
      <c r="H598" s="239"/>
      <c r="I598" s="239"/>
      <c r="J598" s="210">
        <v>-10744</v>
      </c>
      <c r="K598" s="209">
        <v>0</v>
      </c>
      <c r="L598" s="209">
        <v>-111016</v>
      </c>
      <c r="M598" s="209">
        <v>60885.5</v>
      </c>
      <c r="N598" s="242">
        <v>50141.5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-100272</v>
      </c>
      <c r="H599" s="239"/>
      <c r="I599" s="239"/>
      <c r="J599" s="210">
        <v>-10744</v>
      </c>
      <c r="K599" s="209">
        <v>0</v>
      </c>
      <c r="L599" s="209">
        <v>-111016</v>
      </c>
      <c r="M599" s="209">
        <v>60885.5</v>
      </c>
      <c r="N599" s="242">
        <v>50141.5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-100272</v>
      </c>
      <c r="H600" s="239"/>
      <c r="I600" s="239"/>
      <c r="J600" s="210">
        <v>-10744</v>
      </c>
      <c r="K600" s="209">
        <v>0</v>
      </c>
      <c r="L600" s="209">
        <v>-111016</v>
      </c>
      <c r="M600" s="209">
        <v>60885.5</v>
      </c>
      <c r="N600" s="242">
        <v>50141.5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-100272</v>
      </c>
      <c r="H601" s="239"/>
      <c r="I601" s="239"/>
      <c r="J601" s="210">
        <v>-10744</v>
      </c>
      <c r="K601" s="209">
        <v>0</v>
      </c>
      <c r="L601" s="209">
        <v>-111016</v>
      </c>
      <c r="M601" s="209">
        <v>60885.5</v>
      </c>
      <c r="N601" s="242">
        <v>50141.5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-100272</v>
      </c>
      <c r="H602" s="239"/>
      <c r="I602" s="239"/>
      <c r="J602" s="210">
        <v>-10744</v>
      </c>
      <c r="K602" s="209">
        <v>0</v>
      </c>
      <c r="L602" s="209">
        <v>-111016</v>
      </c>
      <c r="M602" s="209">
        <v>60885.5</v>
      </c>
      <c r="N602" s="242">
        <v>50141.5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-100272</v>
      </c>
      <c r="H603" s="239"/>
      <c r="I603" s="239"/>
      <c r="J603" s="210">
        <v>-10744</v>
      </c>
      <c r="K603" s="209">
        <v>0</v>
      </c>
      <c r="L603" s="209">
        <v>-111016</v>
      </c>
      <c r="M603" s="209">
        <v>60885.5</v>
      </c>
      <c r="N603" s="242">
        <v>50141.5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-100272</v>
      </c>
      <c r="H604" s="239"/>
      <c r="I604" s="239"/>
      <c r="J604" s="210">
        <v>-10744</v>
      </c>
      <c r="K604" s="209">
        <v>0</v>
      </c>
      <c r="L604" s="209">
        <v>-111016</v>
      </c>
      <c r="M604" s="209">
        <v>60885.5</v>
      </c>
      <c r="N604" s="242">
        <v>50141.5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-100272</v>
      </c>
      <c r="H605" s="239"/>
      <c r="I605" s="239"/>
      <c r="J605" s="210">
        <v>-10744</v>
      </c>
      <c r="K605" s="209">
        <v>0</v>
      </c>
      <c r="L605" s="209">
        <v>-111016</v>
      </c>
      <c r="M605" s="209">
        <v>60885.5</v>
      </c>
      <c r="N605" s="242">
        <v>50141.5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-1967952</v>
      </c>
      <c r="H606" s="239"/>
      <c r="I606" s="239"/>
      <c r="J606" s="210">
        <v>-214686</v>
      </c>
      <c r="K606" s="209">
        <v>0</v>
      </c>
      <c r="L606" s="209">
        <v>-2182638</v>
      </c>
      <c r="M606" s="209">
        <v>1252335.21</v>
      </c>
      <c r="N606" s="242">
        <v>1037649.21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-40696</v>
      </c>
      <c r="H607" s="239"/>
      <c r="I607" s="239"/>
      <c r="J607" s="210">
        <v>0</v>
      </c>
      <c r="K607" s="209">
        <v>0</v>
      </c>
      <c r="L607" s="209">
        <v>-40696</v>
      </c>
      <c r="M607" s="209">
        <v>0</v>
      </c>
      <c r="N607" s="242">
        <v>0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-161263</v>
      </c>
      <c r="H608" s="239"/>
      <c r="I608" s="239"/>
      <c r="J608" s="210">
        <v>-16274.63</v>
      </c>
      <c r="K608" s="209">
        <v>0</v>
      </c>
      <c r="L608" s="209">
        <v>-177537.63</v>
      </c>
      <c r="M608" s="209">
        <v>16274.63</v>
      </c>
      <c r="N608" s="242">
        <v>0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-96000</v>
      </c>
      <c r="H609" s="239"/>
      <c r="I609" s="239"/>
      <c r="J609" s="210">
        <v>0</v>
      </c>
      <c r="K609" s="209">
        <v>0</v>
      </c>
      <c r="L609" s="209">
        <v>-96000</v>
      </c>
      <c r="M609" s="209">
        <v>0</v>
      </c>
      <c r="N609" s="242">
        <v>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-249427</v>
      </c>
      <c r="H610" s="239"/>
      <c r="I610" s="239"/>
      <c r="J610" s="210">
        <v>-25173</v>
      </c>
      <c r="K610" s="209">
        <v>0</v>
      </c>
      <c r="L610" s="209">
        <v>-274600</v>
      </c>
      <c r="M610" s="209">
        <v>25173</v>
      </c>
      <c r="N610" s="242">
        <v>0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-545381</v>
      </c>
      <c r="H611" s="239"/>
      <c r="I611" s="239"/>
      <c r="J611" s="210">
        <v>0</v>
      </c>
      <c r="K611" s="209">
        <v>0</v>
      </c>
      <c r="L611" s="209">
        <v>-545381</v>
      </c>
      <c r="M611" s="209">
        <v>0</v>
      </c>
      <c r="N611" s="242">
        <v>0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-291518</v>
      </c>
      <c r="H612" s="239"/>
      <c r="I612" s="239"/>
      <c r="J612" s="210">
        <v>-29419.43</v>
      </c>
      <c r="K612" s="209">
        <v>0</v>
      </c>
      <c r="L612" s="209">
        <v>-320937.43</v>
      </c>
      <c r="M612" s="209">
        <v>29419.43</v>
      </c>
      <c r="N612" s="242">
        <v>0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-292499</v>
      </c>
      <c r="H613" s="239"/>
      <c r="I613" s="239"/>
      <c r="J613" s="210">
        <v>-32501</v>
      </c>
      <c r="K613" s="209">
        <v>0</v>
      </c>
      <c r="L613" s="209">
        <v>-325000</v>
      </c>
      <c r="M613" s="209">
        <v>32501</v>
      </c>
      <c r="N613" s="242">
        <v>0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-155000</v>
      </c>
      <c r="H614" s="239"/>
      <c r="I614" s="239"/>
      <c r="J614" s="210">
        <v>0</v>
      </c>
      <c r="K614" s="209">
        <v>0</v>
      </c>
      <c r="L614" s="209">
        <v>-155000</v>
      </c>
      <c r="M614" s="209">
        <v>0</v>
      </c>
      <c r="N614" s="242">
        <v>0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-76330.42</v>
      </c>
      <c r="H615" s="239"/>
      <c r="I615" s="239"/>
      <c r="J615" s="210">
        <v>0</v>
      </c>
      <c r="K615" s="209">
        <v>0</v>
      </c>
      <c r="L615" s="209">
        <v>-76330.42</v>
      </c>
      <c r="M615" s="209">
        <v>0</v>
      </c>
      <c r="N615" s="242">
        <v>0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-92500</v>
      </c>
      <c r="H616" s="239"/>
      <c r="I616" s="239"/>
      <c r="J616" s="210">
        <v>0</v>
      </c>
      <c r="K616" s="209">
        <v>0</v>
      </c>
      <c r="L616" s="209">
        <v>-92500</v>
      </c>
      <c r="M616" s="209">
        <v>0</v>
      </c>
      <c r="N616" s="242">
        <v>0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-103384</v>
      </c>
      <c r="H617" s="239"/>
      <c r="I617" s="239"/>
      <c r="J617" s="210">
        <v>-11488</v>
      </c>
      <c r="K617" s="209">
        <v>0</v>
      </c>
      <c r="L617" s="209">
        <v>-114872</v>
      </c>
      <c r="M617" s="209">
        <v>68927.5</v>
      </c>
      <c r="N617" s="242">
        <v>57439.5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-535377</v>
      </c>
      <c r="H618" s="239"/>
      <c r="I618" s="239"/>
      <c r="J618" s="210">
        <v>-59487</v>
      </c>
      <c r="K618" s="209">
        <v>0</v>
      </c>
      <c r="L618" s="209">
        <v>-594864</v>
      </c>
      <c r="M618" s="209">
        <v>59487</v>
      </c>
      <c r="N618" s="242">
        <v>0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-94423</v>
      </c>
      <c r="H619" s="239"/>
      <c r="I619" s="239"/>
      <c r="J619" s="210">
        <v>-10492</v>
      </c>
      <c r="K619" s="209">
        <v>0</v>
      </c>
      <c r="L619" s="209">
        <v>-104915</v>
      </c>
      <c r="M619" s="209">
        <v>10492</v>
      </c>
      <c r="N619" s="242">
        <v>0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-90811</v>
      </c>
      <c r="H620" s="239"/>
      <c r="I620" s="239"/>
      <c r="J620" s="210">
        <v>-10090</v>
      </c>
      <c r="K620" s="209">
        <v>0</v>
      </c>
      <c r="L620" s="209">
        <v>-100901</v>
      </c>
      <c r="M620" s="209">
        <v>10090</v>
      </c>
      <c r="N620" s="242">
        <v>0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-315360</v>
      </c>
      <c r="H621" s="239"/>
      <c r="I621" s="239"/>
      <c r="J621" s="210">
        <v>-35040</v>
      </c>
      <c r="K621" s="209">
        <v>0</v>
      </c>
      <c r="L621" s="209">
        <v>-350400</v>
      </c>
      <c r="M621" s="209">
        <v>210240</v>
      </c>
      <c r="N621" s="242">
        <v>175200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-2441399</v>
      </c>
      <c r="H622" s="239"/>
      <c r="I622" s="239"/>
      <c r="J622" s="210">
        <v>-271266</v>
      </c>
      <c r="K622" s="209">
        <v>0</v>
      </c>
      <c r="L622" s="209">
        <v>-2712665</v>
      </c>
      <c r="M622" s="209">
        <v>271266.38</v>
      </c>
      <c r="N622" s="242">
        <v>0.38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-178203</v>
      </c>
      <c r="H623" s="239"/>
      <c r="I623" s="239"/>
      <c r="J623" s="210">
        <v>-20367</v>
      </c>
      <c r="K623" s="209">
        <v>0</v>
      </c>
      <c r="L623" s="209">
        <v>-198570</v>
      </c>
      <c r="M623" s="209">
        <v>25458.55</v>
      </c>
      <c r="N623" s="242">
        <v>5091.55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-582672</v>
      </c>
      <c r="H624" s="239"/>
      <c r="I624" s="239"/>
      <c r="J624" s="210">
        <v>-66592</v>
      </c>
      <c r="K624" s="209">
        <v>0</v>
      </c>
      <c r="L624" s="209">
        <v>-649264</v>
      </c>
      <c r="M624" s="209">
        <v>416198.5</v>
      </c>
      <c r="N624" s="242">
        <v>349606.5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-91090</v>
      </c>
      <c r="H625" s="239"/>
      <c r="I625" s="239"/>
      <c r="J625" s="210">
        <v>0</v>
      </c>
      <c r="K625" s="209">
        <v>0</v>
      </c>
      <c r="L625" s="209">
        <v>-91090</v>
      </c>
      <c r="M625" s="209">
        <v>0</v>
      </c>
      <c r="N625" s="242">
        <v>0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-315000</v>
      </c>
      <c r="H626" s="239"/>
      <c r="I626" s="239"/>
      <c r="J626" s="210">
        <v>0</v>
      </c>
      <c r="K626" s="209">
        <v>0</v>
      </c>
      <c r="L626" s="209">
        <v>-315000</v>
      </c>
      <c r="M626" s="209">
        <v>0</v>
      </c>
      <c r="N626" s="242">
        <v>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-363506</v>
      </c>
      <c r="H627" s="239"/>
      <c r="I627" s="239"/>
      <c r="J627" s="210">
        <v>-44512</v>
      </c>
      <c r="K627" s="209">
        <v>0</v>
      </c>
      <c r="L627" s="209">
        <v>-408018</v>
      </c>
      <c r="M627" s="209">
        <v>304162</v>
      </c>
      <c r="N627" s="242">
        <v>259650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-441785</v>
      </c>
      <c r="H628" s="239"/>
      <c r="I628" s="239"/>
      <c r="J628" s="210">
        <v>-54097</v>
      </c>
      <c r="K628" s="209">
        <v>0</v>
      </c>
      <c r="L628" s="209">
        <v>-495882</v>
      </c>
      <c r="M628" s="209">
        <v>369657.7</v>
      </c>
      <c r="N628" s="242">
        <v>315560.7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-40884</v>
      </c>
      <c r="H629" s="239"/>
      <c r="I629" s="239"/>
      <c r="J629" s="210">
        <v>0</v>
      </c>
      <c r="K629" s="209">
        <v>0</v>
      </c>
      <c r="L629" s="209">
        <v>-40884</v>
      </c>
      <c r="M629" s="209">
        <v>0</v>
      </c>
      <c r="N629" s="242">
        <v>0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-33480</v>
      </c>
      <c r="H630" s="239"/>
      <c r="I630" s="239"/>
      <c r="J630" s="210">
        <v>0</v>
      </c>
      <c r="K630" s="209">
        <v>0</v>
      </c>
      <c r="L630" s="209">
        <v>-33480</v>
      </c>
      <c r="M630" s="209">
        <v>0</v>
      </c>
      <c r="N630" s="242">
        <v>0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-58648.75</v>
      </c>
      <c r="H631" s="239"/>
      <c r="I631" s="239"/>
      <c r="J631" s="210">
        <v>0</v>
      </c>
      <c r="K631" s="209">
        <v>0</v>
      </c>
      <c r="L631" s="209">
        <v>-58648.75</v>
      </c>
      <c r="M631" s="209">
        <v>0</v>
      </c>
      <c r="N631" s="242">
        <v>0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-179358</v>
      </c>
      <c r="H632" s="239"/>
      <c r="I632" s="239"/>
      <c r="J632" s="210">
        <v>-22189</v>
      </c>
      <c r="K632" s="209">
        <v>0</v>
      </c>
      <c r="L632" s="209">
        <v>-201547</v>
      </c>
      <c r="M632" s="209">
        <v>153471.6</v>
      </c>
      <c r="N632" s="242">
        <v>131282.6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-1132923</v>
      </c>
      <c r="H633" s="239"/>
      <c r="I633" s="239"/>
      <c r="J633" s="210">
        <v>-140155</v>
      </c>
      <c r="K633" s="209">
        <v>0</v>
      </c>
      <c r="L633" s="209">
        <v>-1273078</v>
      </c>
      <c r="M633" s="209">
        <v>969404</v>
      </c>
      <c r="N633" s="242">
        <v>829249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-440241</v>
      </c>
      <c r="H634" s="239"/>
      <c r="I634" s="239"/>
      <c r="J634" s="210">
        <v>-54462</v>
      </c>
      <c r="K634" s="209">
        <v>0</v>
      </c>
      <c r="L634" s="209">
        <v>-494703</v>
      </c>
      <c r="M634" s="209">
        <v>376696</v>
      </c>
      <c r="N634" s="242">
        <v>322234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-274621</v>
      </c>
      <c r="H635" s="239"/>
      <c r="I635" s="239"/>
      <c r="J635" s="210">
        <v>-33974</v>
      </c>
      <c r="K635" s="209">
        <v>0</v>
      </c>
      <c r="L635" s="209">
        <v>-308595</v>
      </c>
      <c r="M635" s="209">
        <v>234987</v>
      </c>
      <c r="N635" s="242">
        <v>201013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-225804</v>
      </c>
      <c r="H636" s="239"/>
      <c r="I636" s="239"/>
      <c r="J636" s="210">
        <v>-27934</v>
      </c>
      <c r="K636" s="209">
        <v>0</v>
      </c>
      <c r="L636" s="209">
        <v>-253738</v>
      </c>
      <c r="M636" s="209">
        <v>193211.67</v>
      </c>
      <c r="N636" s="242">
        <v>165277.67000000001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-136624.75</v>
      </c>
      <c r="H637" s="239"/>
      <c r="I637" s="239"/>
      <c r="J637" s="210">
        <v>0</v>
      </c>
      <c r="K637" s="209">
        <v>0</v>
      </c>
      <c r="L637" s="209">
        <v>-136624.75</v>
      </c>
      <c r="M637" s="209">
        <v>0</v>
      </c>
      <c r="N637" s="242">
        <v>0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-259123</v>
      </c>
      <c r="H638" s="239"/>
      <c r="I638" s="239"/>
      <c r="J638" s="210">
        <v>-32390</v>
      </c>
      <c r="K638" s="209">
        <v>0</v>
      </c>
      <c r="L638" s="209">
        <v>-291513</v>
      </c>
      <c r="M638" s="209">
        <v>64781</v>
      </c>
      <c r="N638" s="242">
        <v>32391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-1050666</v>
      </c>
      <c r="H639" s="239"/>
      <c r="I639" s="239"/>
      <c r="J639" s="210">
        <v>-131334</v>
      </c>
      <c r="K639" s="209">
        <v>0</v>
      </c>
      <c r="L639" s="209">
        <v>-1182000</v>
      </c>
      <c r="M639" s="209">
        <v>262668.25</v>
      </c>
      <c r="N639" s="242">
        <v>131334.25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-77414.429999999993</v>
      </c>
      <c r="H640" s="239"/>
      <c r="I640" s="239"/>
      <c r="J640" s="210">
        <v>0</v>
      </c>
      <c r="K640" s="209">
        <v>0</v>
      </c>
      <c r="L640" s="209">
        <v>-77414.429999999993</v>
      </c>
      <c r="M640" s="209">
        <v>0</v>
      </c>
      <c r="N640" s="242">
        <v>0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-222251</v>
      </c>
      <c r="H641" s="239"/>
      <c r="I641" s="239"/>
      <c r="J641" s="210">
        <v>-27782</v>
      </c>
      <c r="K641" s="209">
        <v>0</v>
      </c>
      <c r="L641" s="209">
        <v>-250033</v>
      </c>
      <c r="M641" s="209">
        <v>55563.5</v>
      </c>
      <c r="N641" s="242">
        <v>27781.5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-62025</v>
      </c>
      <c r="H642" s="239"/>
      <c r="I642" s="239"/>
      <c r="J642" s="210">
        <v>-7753</v>
      </c>
      <c r="K642" s="209">
        <v>0</v>
      </c>
      <c r="L642" s="209">
        <v>-69778</v>
      </c>
      <c r="M642" s="209">
        <v>15506.18</v>
      </c>
      <c r="N642" s="242">
        <v>7753.18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-30707</v>
      </c>
      <c r="H643" s="239"/>
      <c r="I643" s="239"/>
      <c r="J643" s="210">
        <v>-3838</v>
      </c>
      <c r="K643" s="209">
        <v>0</v>
      </c>
      <c r="L643" s="209">
        <v>-34545</v>
      </c>
      <c r="M643" s="209">
        <v>7676.25</v>
      </c>
      <c r="N643" s="242">
        <v>3838.25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-150305.79999999999</v>
      </c>
      <c r="H644" s="239"/>
      <c r="I644" s="239"/>
      <c r="J644" s="210">
        <v>0</v>
      </c>
      <c r="K644" s="209">
        <v>0</v>
      </c>
      <c r="L644" s="209">
        <v>-150305.79999999999</v>
      </c>
      <c r="M644" s="209">
        <v>0</v>
      </c>
      <c r="N644" s="242">
        <v>0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-199000</v>
      </c>
      <c r="H645" s="239"/>
      <c r="I645" s="239"/>
      <c r="J645" s="210">
        <v>0</v>
      </c>
      <c r="K645" s="209">
        <v>0</v>
      </c>
      <c r="L645" s="209">
        <v>-199000</v>
      </c>
      <c r="M645" s="209">
        <v>0</v>
      </c>
      <c r="N645" s="242">
        <v>0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-103715.62</v>
      </c>
      <c r="H646" s="239"/>
      <c r="I646" s="239"/>
      <c r="J646" s="210">
        <v>0</v>
      </c>
      <c r="K646" s="209">
        <v>0</v>
      </c>
      <c r="L646" s="209">
        <v>-103715.62</v>
      </c>
      <c r="M646" s="209">
        <v>0</v>
      </c>
      <c r="N646" s="242">
        <v>0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-363339</v>
      </c>
      <c r="H647" s="239"/>
      <c r="I647" s="239"/>
      <c r="J647" s="210">
        <v>-46882</v>
      </c>
      <c r="K647" s="209">
        <v>0</v>
      </c>
      <c r="L647" s="209">
        <v>-410221</v>
      </c>
      <c r="M647" s="209">
        <v>105485</v>
      </c>
      <c r="N647" s="242">
        <v>58603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-27668</v>
      </c>
      <c r="H648" s="239"/>
      <c r="I648" s="239"/>
      <c r="J648" s="210">
        <v>-3570</v>
      </c>
      <c r="K648" s="209">
        <v>0</v>
      </c>
      <c r="L648" s="209">
        <v>-31238</v>
      </c>
      <c r="M648" s="209">
        <v>8032</v>
      </c>
      <c r="N648" s="242">
        <v>4462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-122760</v>
      </c>
      <c r="H649" s="239"/>
      <c r="I649" s="239"/>
      <c r="J649" s="210">
        <v>-15840</v>
      </c>
      <c r="K649" s="209">
        <v>0</v>
      </c>
      <c r="L649" s="209">
        <v>-138600</v>
      </c>
      <c r="M649" s="209">
        <v>35640</v>
      </c>
      <c r="N649" s="242">
        <v>19800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-77499</v>
      </c>
      <c r="H650" s="239"/>
      <c r="I650" s="239"/>
      <c r="J650" s="210">
        <v>-10000</v>
      </c>
      <c r="K650" s="209">
        <v>0</v>
      </c>
      <c r="L650" s="209">
        <v>-87499</v>
      </c>
      <c r="M650" s="209">
        <v>72501</v>
      </c>
      <c r="N650" s="242">
        <v>62501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-464030</v>
      </c>
      <c r="H651" s="239"/>
      <c r="I651" s="239"/>
      <c r="J651" s="210">
        <v>-59874</v>
      </c>
      <c r="K651" s="209">
        <v>0</v>
      </c>
      <c r="L651" s="209">
        <v>-523904</v>
      </c>
      <c r="M651" s="209">
        <v>134716.98000000001</v>
      </c>
      <c r="N651" s="242">
        <v>74842.98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-324536</v>
      </c>
      <c r="H652" s="239"/>
      <c r="I652" s="239"/>
      <c r="J652" s="210">
        <v>-42796</v>
      </c>
      <c r="K652" s="209">
        <v>0</v>
      </c>
      <c r="L652" s="209">
        <v>-367332</v>
      </c>
      <c r="M652" s="209">
        <v>103424</v>
      </c>
      <c r="N652" s="242">
        <v>60628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-479614.85</v>
      </c>
      <c r="H653" s="239"/>
      <c r="I653" s="239"/>
      <c r="J653" s="210">
        <v>0</v>
      </c>
      <c r="K653" s="209">
        <v>0</v>
      </c>
      <c r="L653" s="209">
        <v>-479614.85</v>
      </c>
      <c r="M653" s="209">
        <v>0</v>
      </c>
      <c r="N653" s="242">
        <v>0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-209999</v>
      </c>
      <c r="H654" s="239"/>
      <c r="I654" s="239"/>
      <c r="J654" s="210">
        <v>-28000</v>
      </c>
      <c r="K654" s="209">
        <v>0</v>
      </c>
      <c r="L654" s="209">
        <v>-237999</v>
      </c>
      <c r="M654" s="209">
        <v>210001</v>
      </c>
      <c r="N654" s="242">
        <v>182001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-455449</v>
      </c>
      <c r="H655" s="239"/>
      <c r="I655" s="239"/>
      <c r="J655" s="210">
        <v>0</v>
      </c>
      <c r="K655" s="209">
        <v>0</v>
      </c>
      <c r="L655" s="209">
        <v>-455449</v>
      </c>
      <c r="M655" s="209">
        <v>0</v>
      </c>
      <c r="N655" s="242">
        <v>0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-185885</v>
      </c>
      <c r="H656" s="239"/>
      <c r="I656" s="239"/>
      <c r="J656" s="210">
        <v>0</v>
      </c>
      <c r="K656" s="209">
        <v>0</v>
      </c>
      <c r="L656" s="209">
        <v>-185885</v>
      </c>
      <c r="M656" s="209">
        <v>0</v>
      </c>
      <c r="N656" s="242">
        <v>0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-489555</v>
      </c>
      <c r="H657" s="239"/>
      <c r="I657" s="239"/>
      <c r="J657" s="210">
        <v>-67524</v>
      </c>
      <c r="K657" s="209">
        <v>0</v>
      </c>
      <c r="L657" s="209">
        <v>-557079</v>
      </c>
      <c r="M657" s="209">
        <v>185692.9</v>
      </c>
      <c r="N657" s="242">
        <v>118168.9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-85400</v>
      </c>
      <c r="H658" s="239"/>
      <c r="I658" s="239"/>
      <c r="J658" s="210">
        <v>0</v>
      </c>
      <c r="K658" s="209">
        <v>0</v>
      </c>
      <c r="L658" s="209">
        <v>-85400</v>
      </c>
      <c r="M658" s="209">
        <v>0</v>
      </c>
      <c r="N658" s="242">
        <v>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-111218.45</v>
      </c>
      <c r="H659" s="239"/>
      <c r="I659" s="239"/>
      <c r="J659" s="210">
        <v>0</v>
      </c>
      <c r="K659" s="209">
        <v>0</v>
      </c>
      <c r="L659" s="209">
        <v>-111218.45</v>
      </c>
      <c r="M659" s="209">
        <v>0</v>
      </c>
      <c r="N659" s="242">
        <v>0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-222061</v>
      </c>
      <c r="H660" s="239"/>
      <c r="I660" s="239"/>
      <c r="J660" s="210">
        <v>-30986</v>
      </c>
      <c r="K660" s="209">
        <v>0</v>
      </c>
      <c r="L660" s="209">
        <v>-253047</v>
      </c>
      <c r="M660" s="209">
        <v>87792.21</v>
      </c>
      <c r="N660" s="242">
        <v>56806.21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-181572</v>
      </c>
      <c r="H661" s="239"/>
      <c r="I661" s="239"/>
      <c r="J661" s="210">
        <v>-25335</v>
      </c>
      <c r="K661" s="209">
        <v>0</v>
      </c>
      <c r="L661" s="209">
        <v>-206907</v>
      </c>
      <c r="M661" s="209">
        <v>71783.850000000006</v>
      </c>
      <c r="N661" s="242">
        <v>46448.85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-4003723.5</v>
      </c>
      <c r="H743" s="239"/>
      <c r="I743" s="239"/>
      <c r="J743" s="210">
        <v>0</v>
      </c>
      <c r="K743" s="209">
        <v>0</v>
      </c>
      <c r="L743" s="209">
        <v>-4003723.5</v>
      </c>
      <c r="M743" s="209">
        <v>0</v>
      </c>
      <c r="N743" s="242">
        <v>0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-1850609.24</v>
      </c>
      <c r="H769" s="239"/>
      <c r="I769" s="239"/>
      <c r="J769" s="210">
        <v>0</v>
      </c>
      <c r="K769" s="209">
        <v>0</v>
      </c>
      <c r="L769" s="209">
        <v>-1850609.24</v>
      </c>
      <c r="M769" s="209">
        <v>0</v>
      </c>
      <c r="N769" s="242">
        <v>0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-3009170</v>
      </c>
      <c r="H798" s="239"/>
      <c r="I798" s="239"/>
      <c r="J798" s="210">
        <v>0</v>
      </c>
      <c r="K798" s="209">
        <v>0</v>
      </c>
      <c r="L798" s="209">
        <v>-3009170</v>
      </c>
      <c r="M798" s="209">
        <v>0</v>
      </c>
      <c r="N798" s="242">
        <v>0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-836800</v>
      </c>
      <c r="H843" s="239"/>
      <c r="I843" s="239"/>
      <c r="J843" s="210">
        <v>0</v>
      </c>
      <c r="K843" s="209">
        <v>0</v>
      </c>
      <c r="L843" s="209">
        <v>-836800</v>
      </c>
      <c r="M843" s="209">
        <v>0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-51264</v>
      </c>
      <c r="H846" s="239"/>
      <c r="I846" s="239"/>
      <c r="J846" s="210">
        <v>0</v>
      </c>
      <c r="K846" s="209">
        <v>0</v>
      </c>
      <c r="L846" s="209">
        <v>-51264</v>
      </c>
      <c r="M846" s="209">
        <v>0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-432660</v>
      </c>
      <c r="H850" s="239"/>
      <c r="I850" s="239"/>
      <c r="J850" s="210">
        <v>0</v>
      </c>
      <c r="K850" s="209">
        <v>0</v>
      </c>
      <c r="L850" s="209">
        <v>-432660</v>
      </c>
      <c r="M850" s="209">
        <v>0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-8114080</v>
      </c>
      <c r="H860" s="239"/>
      <c r="I860" s="239"/>
      <c r="J860" s="210">
        <v>0</v>
      </c>
      <c r="K860" s="209">
        <v>0</v>
      </c>
      <c r="L860" s="209">
        <v>-8114080</v>
      </c>
      <c r="M860" s="209">
        <v>0</v>
      </c>
      <c r="N860" s="242">
        <v>0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-948740.88</v>
      </c>
      <c r="H861" s="239"/>
      <c r="I861" s="239"/>
      <c r="J861" s="210">
        <v>0</v>
      </c>
      <c r="K861" s="209">
        <v>0</v>
      </c>
      <c r="L861" s="209">
        <v>-948740.88</v>
      </c>
      <c r="M861" s="209">
        <v>0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-122210117.5</v>
      </c>
      <c r="H862" s="244"/>
      <c r="I862" s="244"/>
      <c r="J862" s="208">
        <v>-3326004.01</v>
      </c>
      <c r="K862" s="207">
        <v>0</v>
      </c>
      <c r="L862" s="207">
        <v>-125536121.51000001</v>
      </c>
      <c r="M862" s="207">
        <v>11758957.43</v>
      </c>
      <c r="N862" s="245">
        <v>8432953.4199999999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-269410184.56</v>
      </c>
      <c r="H871" s="239"/>
      <c r="I871" s="239"/>
      <c r="J871" s="202">
        <v>-4155132.76</v>
      </c>
      <c r="K871" s="201">
        <v>0</v>
      </c>
      <c r="L871" s="201">
        <v>-273565317.31999999</v>
      </c>
      <c r="M871" s="201">
        <v>16415541.67</v>
      </c>
      <c r="N871" s="253">
        <v>12260408.91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8665-E90B-4EF3-AA00-0C21B75FE2F3}">
  <dimension ref="A1:O872"/>
  <sheetViews>
    <sheetView showGridLines="0" workbookViewId="0">
      <pane ySplit="15" topLeftCell="A851" activePane="bottomLeft" state="frozen"/>
      <selection pane="bottomLeft" activeCell="J4" sqref="J1:J1048576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1832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1829</v>
      </c>
      <c r="D14" s="212" t="s">
        <v>162</v>
      </c>
      <c r="E14" s="212" t="s">
        <v>163</v>
      </c>
      <c r="F14" s="212" t="s">
        <v>1833</v>
      </c>
      <c r="G14" s="251" t="s">
        <v>1830</v>
      </c>
      <c r="H14" s="239"/>
      <c r="I14" s="239"/>
      <c r="J14" s="213" t="s">
        <v>166</v>
      </c>
      <c r="K14" s="212" t="s">
        <v>167</v>
      </c>
      <c r="L14" s="212" t="s">
        <v>1834</v>
      </c>
      <c r="M14" s="212" t="s">
        <v>1831</v>
      </c>
      <c r="N14" s="251" t="s">
        <v>1835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-2156416.11</v>
      </c>
      <c r="H18" s="239"/>
      <c r="I18" s="239"/>
      <c r="J18" s="210">
        <v>-76334</v>
      </c>
      <c r="K18" s="209">
        <v>0</v>
      </c>
      <c r="L18" s="209">
        <v>-2232750.11</v>
      </c>
      <c r="M18" s="209">
        <v>133583.89000000001</v>
      </c>
      <c r="N18" s="242">
        <v>57249.89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-929000</v>
      </c>
      <c r="H19" s="239"/>
      <c r="I19" s="239"/>
      <c r="J19" s="210">
        <v>0</v>
      </c>
      <c r="K19" s="209">
        <v>0</v>
      </c>
      <c r="L19" s="209">
        <v>-929000</v>
      </c>
      <c r="M19" s="209">
        <v>0</v>
      </c>
      <c r="N19" s="242">
        <v>0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-230000</v>
      </c>
      <c r="H20" s="239"/>
      <c r="I20" s="239"/>
      <c r="J20" s="210">
        <v>0</v>
      </c>
      <c r="K20" s="209">
        <v>0</v>
      </c>
      <c r="L20" s="209">
        <v>-230000</v>
      </c>
      <c r="M20" s="209">
        <v>0</v>
      </c>
      <c r="N20" s="242">
        <v>0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-969000</v>
      </c>
      <c r="H21" s="239"/>
      <c r="I21" s="239"/>
      <c r="J21" s="210">
        <v>0</v>
      </c>
      <c r="K21" s="209">
        <v>0</v>
      </c>
      <c r="L21" s="209">
        <v>-969000</v>
      </c>
      <c r="M21" s="209">
        <v>0</v>
      </c>
      <c r="N21" s="242">
        <v>0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-4284416.1100000003</v>
      </c>
      <c r="H22" s="244"/>
      <c r="I22" s="244"/>
      <c r="J22" s="208">
        <v>-76334</v>
      </c>
      <c r="K22" s="207">
        <v>0</v>
      </c>
      <c r="L22" s="207">
        <v>-4360750.1100000003</v>
      </c>
      <c r="M22" s="207">
        <v>133583.89000000001</v>
      </c>
      <c r="N22" s="245">
        <v>57249.89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-6608400</v>
      </c>
      <c r="H36" s="239"/>
      <c r="I36" s="239"/>
      <c r="J36" s="210">
        <v>0</v>
      </c>
      <c r="K36" s="209">
        <v>0</v>
      </c>
      <c r="L36" s="209">
        <v>-6608400</v>
      </c>
      <c r="M36" s="209">
        <v>0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-7138338</v>
      </c>
      <c r="H37" s="239"/>
      <c r="I37" s="239"/>
      <c r="J37" s="210">
        <v>0</v>
      </c>
      <c r="K37" s="209">
        <v>0</v>
      </c>
      <c r="L37" s="209">
        <v>-7138338</v>
      </c>
      <c r="M37" s="209">
        <v>0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-1728820</v>
      </c>
      <c r="H38" s="239"/>
      <c r="I38" s="239"/>
      <c r="J38" s="210">
        <v>0</v>
      </c>
      <c r="K38" s="209">
        <v>0</v>
      </c>
      <c r="L38" s="209">
        <v>-1728820</v>
      </c>
      <c r="M38" s="209">
        <v>0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-1728820</v>
      </c>
      <c r="H39" s="239"/>
      <c r="I39" s="239"/>
      <c r="J39" s="210">
        <v>0</v>
      </c>
      <c r="K39" s="209">
        <v>0</v>
      </c>
      <c r="L39" s="209">
        <v>-1728820</v>
      </c>
      <c r="M39" s="209">
        <v>0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-1728820</v>
      </c>
      <c r="H40" s="239"/>
      <c r="I40" s="239"/>
      <c r="J40" s="210">
        <v>0</v>
      </c>
      <c r="K40" s="209">
        <v>0</v>
      </c>
      <c r="L40" s="209">
        <v>-1728820</v>
      </c>
      <c r="M40" s="209">
        <v>0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-985782.31</v>
      </c>
      <c r="H42" s="239"/>
      <c r="I42" s="239"/>
      <c r="J42" s="210">
        <v>0</v>
      </c>
      <c r="K42" s="209">
        <v>0</v>
      </c>
      <c r="L42" s="209">
        <v>-985782.31</v>
      </c>
      <c r="M42" s="209">
        <v>0</v>
      </c>
      <c r="N42" s="242">
        <v>0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-1567000</v>
      </c>
      <c r="H44" s="239"/>
      <c r="I44" s="239"/>
      <c r="J44" s="210">
        <v>0</v>
      </c>
      <c r="K44" s="209">
        <v>0</v>
      </c>
      <c r="L44" s="209">
        <v>-1567000</v>
      </c>
      <c r="M44" s="209">
        <v>0</v>
      </c>
      <c r="N44" s="242">
        <v>0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-1264347.94</v>
      </c>
      <c r="H45" s="239"/>
      <c r="I45" s="239"/>
      <c r="J45" s="210">
        <v>0</v>
      </c>
      <c r="K45" s="209">
        <v>0</v>
      </c>
      <c r="L45" s="209">
        <v>-1264347.94</v>
      </c>
      <c r="M45" s="209">
        <v>0</v>
      </c>
      <c r="N45" s="242">
        <v>0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-1567000</v>
      </c>
      <c r="H47" s="239"/>
      <c r="I47" s="239"/>
      <c r="J47" s="210">
        <v>0</v>
      </c>
      <c r="K47" s="209">
        <v>0</v>
      </c>
      <c r="L47" s="209">
        <v>-1567000</v>
      </c>
      <c r="M47" s="209">
        <v>0</v>
      </c>
      <c r="N47" s="242">
        <v>0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-750224</v>
      </c>
      <c r="H48" s="239"/>
      <c r="I48" s="239"/>
      <c r="J48" s="210">
        <v>0</v>
      </c>
      <c r="K48" s="209">
        <v>0</v>
      </c>
      <c r="L48" s="209">
        <v>-750224</v>
      </c>
      <c r="M48" s="209">
        <v>0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-654354</v>
      </c>
      <c r="H49" s="239"/>
      <c r="I49" s="239"/>
      <c r="J49" s="210">
        <v>0</v>
      </c>
      <c r="K49" s="209">
        <v>0</v>
      </c>
      <c r="L49" s="209">
        <v>-654354</v>
      </c>
      <c r="M49" s="209">
        <v>0</v>
      </c>
      <c r="N49" s="242">
        <v>0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-654354</v>
      </c>
      <c r="H51" s="239"/>
      <c r="I51" s="239"/>
      <c r="J51" s="210">
        <v>0</v>
      </c>
      <c r="K51" s="209">
        <v>0</v>
      </c>
      <c r="L51" s="209">
        <v>-654354</v>
      </c>
      <c r="M51" s="209">
        <v>0</v>
      </c>
      <c r="N51" s="242">
        <v>0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-654354</v>
      </c>
      <c r="H52" s="239"/>
      <c r="I52" s="239"/>
      <c r="J52" s="210">
        <v>0</v>
      </c>
      <c r="K52" s="209">
        <v>0</v>
      </c>
      <c r="L52" s="209">
        <v>-654354</v>
      </c>
      <c r="M52" s="209">
        <v>0</v>
      </c>
      <c r="N52" s="242">
        <v>0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-654354</v>
      </c>
      <c r="H53" s="239"/>
      <c r="I53" s="239"/>
      <c r="J53" s="210">
        <v>0</v>
      </c>
      <c r="K53" s="209">
        <v>0</v>
      </c>
      <c r="L53" s="209">
        <v>-654354</v>
      </c>
      <c r="M53" s="209">
        <v>0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-654354</v>
      </c>
      <c r="H54" s="239"/>
      <c r="I54" s="239"/>
      <c r="J54" s="210">
        <v>0</v>
      </c>
      <c r="K54" s="209">
        <v>0</v>
      </c>
      <c r="L54" s="209">
        <v>-654354</v>
      </c>
      <c r="M54" s="209">
        <v>0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-654354</v>
      </c>
      <c r="H59" s="239"/>
      <c r="I59" s="239"/>
      <c r="J59" s="210">
        <v>0</v>
      </c>
      <c r="K59" s="209">
        <v>0</v>
      </c>
      <c r="L59" s="209">
        <v>-654354</v>
      </c>
      <c r="M59" s="209">
        <v>0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-654354</v>
      </c>
      <c r="H62" s="239"/>
      <c r="I62" s="239"/>
      <c r="J62" s="210">
        <v>0</v>
      </c>
      <c r="K62" s="209">
        <v>0</v>
      </c>
      <c r="L62" s="209">
        <v>-654354</v>
      </c>
      <c r="M62" s="209">
        <v>0</v>
      </c>
      <c r="N62" s="242">
        <v>0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-654354</v>
      </c>
      <c r="H63" s="239"/>
      <c r="I63" s="239"/>
      <c r="J63" s="210">
        <v>0</v>
      </c>
      <c r="K63" s="209">
        <v>0</v>
      </c>
      <c r="L63" s="209">
        <v>-654354</v>
      </c>
      <c r="M63" s="209">
        <v>0</v>
      </c>
      <c r="N63" s="242">
        <v>0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-654354</v>
      </c>
      <c r="H64" s="239"/>
      <c r="I64" s="239"/>
      <c r="J64" s="210">
        <v>0</v>
      </c>
      <c r="K64" s="209">
        <v>0</v>
      </c>
      <c r="L64" s="209">
        <v>-654354</v>
      </c>
      <c r="M64" s="209">
        <v>0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-654354</v>
      </c>
      <c r="H65" s="239"/>
      <c r="I65" s="239"/>
      <c r="J65" s="210">
        <v>0</v>
      </c>
      <c r="K65" s="209">
        <v>0</v>
      </c>
      <c r="L65" s="209">
        <v>-654354</v>
      </c>
      <c r="M65" s="209">
        <v>0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-654354</v>
      </c>
      <c r="H66" s="239"/>
      <c r="I66" s="239"/>
      <c r="J66" s="210">
        <v>0</v>
      </c>
      <c r="K66" s="209">
        <v>0</v>
      </c>
      <c r="L66" s="209">
        <v>-654354</v>
      </c>
      <c r="M66" s="209">
        <v>0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-654353</v>
      </c>
      <c r="H68" s="239"/>
      <c r="I68" s="239"/>
      <c r="J68" s="210">
        <v>0</v>
      </c>
      <c r="K68" s="209">
        <v>0</v>
      </c>
      <c r="L68" s="209">
        <v>-654353</v>
      </c>
      <c r="M68" s="209">
        <v>0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-654353</v>
      </c>
      <c r="H73" s="239"/>
      <c r="I73" s="239"/>
      <c r="J73" s="210">
        <v>0</v>
      </c>
      <c r="K73" s="209">
        <v>0</v>
      </c>
      <c r="L73" s="209">
        <v>-654353</v>
      </c>
      <c r="M73" s="209">
        <v>0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-654353</v>
      </c>
      <c r="H75" s="239"/>
      <c r="I75" s="239"/>
      <c r="J75" s="210">
        <v>0</v>
      </c>
      <c r="K75" s="209">
        <v>0</v>
      </c>
      <c r="L75" s="209">
        <v>-654353</v>
      </c>
      <c r="M75" s="209">
        <v>0</v>
      </c>
      <c r="N75" s="242">
        <v>0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-654353</v>
      </c>
      <c r="H76" s="239"/>
      <c r="I76" s="239"/>
      <c r="J76" s="210">
        <v>0</v>
      </c>
      <c r="K76" s="209">
        <v>0</v>
      </c>
      <c r="L76" s="209">
        <v>-654353</v>
      </c>
      <c r="M76" s="209">
        <v>0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-654353</v>
      </c>
      <c r="H78" s="239"/>
      <c r="I78" s="239"/>
      <c r="J78" s="210">
        <v>0</v>
      </c>
      <c r="K78" s="209">
        <v>0</v>
      </c>
      <c r="L78" s="209">
        <v>-654353</v>
      </c>
      <c r="M78" s="209">
        <v>0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-654353</v>
      </c>
      <c r="H79" s="239"/>
      <c r="I79" s="239"/>
      <c r="J79" s="210">
        <v>0</v>
      </c>
      <c r="K79" s="209">
        <v>0</v>
      </c>
      <c r="L79" s="209">
        <v>-654353</v>
      </c>
      <c r="M79" s="209">
        <v>0</v>
      </c>
      <c r="N79" s="242">
        <v>0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-654353</v>
      </c>
      <c r="H80" s="239"/>
      <c r="I80" s="239"/>
      <c r="J80" s="210">
        <v>0</v>
      </c>
      <c r="K80" s="209">
        <v>0</v>
      </c>
      <c r="L80" s="209">
        <v>-654353</v>
      </c>
      <c r="M80" s="209">
        <v>0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-654353</v>
      </c>
      <c r="H82" s="239"/>
      <c r="I82" s="239"/>
      <c r="J82" s="210">
        <v>0</v>
      </c>
      <c r="K82" s="209">
        <v>0</v>
      </c>
      <c r="L82" s="209">
        <v>-654353</v>
      </c>
      <c r="M82" s="209">
        <v>0</v>
      </c>
      <c r="N82" s="242">
        <v>0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-654353</v>
      </c>
      <c r="H83" s="239"/>
      <c r="I83" s="239"/>
      <c r="J83" s="210">
        <v>0</v>
      </c>
      <c r="K83" s="209">
        <v>0</v>
      </c>
      <c r="L83" s="209">
        <v>-654353</v>
      </c>
      <c r="M83" s="209">
        <v>0</v>
      </c>
      <c r="N83" s="242">
        <v>0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-654353</v>
      </c>
      <c r="H85" s="239"/>
      <c r="I85" s="239"/>
      <c r="J85" s="210">
        <v>0</v>
      </c>
      <c r="K85" s="209">
        <v>0</v>
      </c>
      <c r="L85" s="209">
        <v>-654353</v>
      </c>
      <c r="M85" s="209">
        <v>0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-654353</v>
      </c>
      <c r="H87" s="239"/>
      <c r="I87" s="239"/>
      <c r="J87" s="210">
        <v>0</v>
      </c>
      <c r="K87" s="209">
        <v>0</v>
      </c>
      <c r="L87" s="209">
        <v>-654353</v>
      </c>
      <c r="M87" s="209">
        <v>0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-654353</v>
      </c>
      <c r="H91" s="239"/>
      <c r="I91" s="239"/>
      <c r="J91" s="210">
        <v>0</v>
      </c>
      <c r="K91" s="209">
        <v>0</v>
      </c>
      <c r="L91" s="209">
        <v>-654353</v>
      </c>
      <c r="M91" s="209">
        <v>0</v>
      </c>
      <c r="N91" s="242">
        <v>0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-654353</v>
      </c>
      <c r="H92" s="239"/>
      <c r="I92" s="239"/>
      <c r="J92" s="210">
        <v>0</v>
      </c>
      <c r="K92" s="209">
        <v>0</v>
      </c>
      <c r="L92" s="209">
        <v>-654353</v>
      </c>
      <c r="M92" s="209">
        <v>0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-654353</v>
      </c>
      <c r="H96" s="239"/>
      <c r="I96" s="239"/>
      <c r="J96" s="210">
        <v>0</v>
      </c>
      <c r="K96" s="209">
        <v>0</v>
      </c>
      <c r="L96" s="209">
        <v>-654353</v>
      </c>
      <c r="M96" s="209">
        <v>0</v>
      </c>
      <c r="N96" s="242">
        <v>0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-654353</v>
      </c>
      <c r="H97" s="239"/>
      <c r="I97" s="239"/>
      <c r="J97" s="210">
        <v>0</v>
      </c>
      <c r="K97" s="209">
        <v>0</v>
      </c>
      <c r="L97" s="209">
        <v>-654353</v>
      </c>
      <c r="M97" s="209">
        <v>0</v>
      </c>
      <c r="N97" s="242">
        <v>0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-654353</v>
      </c>
      <c r="H99" s="239"/>
      <c r="I99" s="239"/>
      <c r="J99" s="210">
        <v>0</v>
      </c>
      <c r="K99" s="209">
        <v>0</v>
      </c>
      <c r="L99" s="209">
        <v>-654353</v>
      </c>
      <c r="M99" s="209">
        <v>0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-654353</v>
      </c>
      <c r="H102" s="239"/>
      <c r="I102" s="239"/>
      <c r="J102" s="210">
        <v>0</v>
      </c>
      <c r="K102" s="209">
        <v>0</v>
      </c>
      <c r="L102" s="209">
        <v>-654353</v>
      </c>
      <c r="M102" s="209">
        <v>0</v>
      </c>
      <c r="N102" s="242">
        <v>0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-654353</v>
      </c>
      <c r="H103" s="239"/>
      <c r="I103" s="239"/>
      <c r="J103" s="210">
        <v>0</v>
      </c>
      <c r="K103" s="209">
        <v>0</v>
      </c>
      <c r="L103" s="209">
        <v>-654353</v>
      </c>
      <c r="M103" s="209">
        <v>0</v>
      </c>
      <c r="N103" s="242">
        <v>0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-1100000</v>
      </c>
      <c r="H285" s="239"/>
      <c r="I285" s="239"/>
      <c r="J285" s="210">
        <v>0</v>
      </c>
      <c r="K285" s="209">
        <v>0</v>
      </c>
      <c r="L285" s="209">
        <v>-1100000</v>
      </c>
      <c r="M285" s="209">
        <v>0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-1100000</v>
      </c>
      <c r="H286" s="239"/>
      <c r="I286" s="239"/>
      <c r="J286" s="210">
        <v>0</v>
      </c>
      <c r="K286" s="209">
        <v>0</v>
      </c>
      <c r="L286" s="209">
        <v>-1100000</v>
      </c>
      <c r="M286" s="209">
        <v>0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-109118716.79000001</v>
      </c>
      <c r="H290" s="244"/>
      <c r="I290" s="244"/>
      <c r="J290" s="208">
        <v>0</v>
      </c>
      <c r="K290" s="207">
        <v>0</v>
      </c>
      <c r="L290" s="207">
        <v>-109118716.79000001</v>
      </c>
      <c r="M290" s="207">
        <v>5.96</v>
      </c>
      <c r="N290" s="245">
        <v>5.96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-307038.71999999997</v>
      </c>
      <c r="H294" s="239"/>
      <c r="I294" s="239"/>
      <c r="J294" s="210">
        <v>-19191</v>
      </c>
      <c r="K294" s="209">
        <v>0</v>
      </c>
      <c r="L294" s="209">
        <v>-326229.71999999997</v>
      </c>
      <c r="M294" s="209">
        <v>76762.28</v>
      </c>
      <c r="N294" s="242">
        <v>57571.28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-5073778.9400000004</v>
      </c>
      <c r="H295" s="239"/>
      <c r="I295" s="239"/>
      <c r="J295" s="210">
        <v>-317163</v>
      </c>
      <c r="K295" s="209">
        <v>0</v>
      </c>
      <c r="L295" s="209">
        <v>-5390941.9400000004</v>
      </c>
      <c r="M295" s="209">
        <v>1268653.06</v>
      </c>
      <c r="N295" s="242">
        <v>951490.06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-2721243</v>
      </c>
      <c r="H296" s="239"/>
      <c r="I296" s="239"/>
      <c r="J296" s="210">
        <v>0</v>
      </c>
      <c r="K296" s="209">
        <v>0</v>
      </c>
      <c r="L296" s="209">
        <v>-2721243</v>
      </c>
      <c r="M296" s="209">
        <v>0</v>
      </c>
      <c r="N296" s="242">
        <v>0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-4318238.8</v>
      </c>
      <c r="H297" s="239"/>
      <c r="I297" s="239"/>
      <c r="J297" s="210">
        <v>0</v>
      </c>
      <c r="K297" s="209">
        <v>0</v>
      </c>
      <c r="L297" s="209">
        <v>-4318238.8</v>
      </c>
      <c r="M297" s="209">
        <v>0</v>
      </c>
      <c r="N297" s="242">
        <v>0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-3315094.89</v>
      </c>
      <c r="H298" s="239"/>
      <c r="I298" s="239"/>
      <c r="J298" s="210">
        <v>-207201</v>
      </c>
      <c r="K298" s="209">
        <v>0</v>
      </c>
      <c r="L298" s="209">
        <v>-3522295.89</v>
      </c>
      <c r="M298" s="209">
        <v>828803.71</v>
      </c>
      <c r="N298" s="242">
        <v>621602.71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-632099.6</v>
      </c>
      <c r="H299" s="239"/>
      <c r="I299" s="239"/>
      <c r="J299" s="210">
        <v>0</v>
      </c>
      <c r="K299" s="209">
        <v>0</v>
      </c>
      <c r="L299" s="209">
        <v>-632099.6</v>
      </c>
      <c r="M299" s="209">
        <v>0</v>
      </c>
      <c r="N299" s="242">
        <v>0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-488060.46</v>
      </c>
      <c r="H300" s="239"/>
      <c r="I300" s="239"/>
      <c r="J300" s="210">
        <v>-32538</v>
      </c>
      <c r="K300" s="209">
        <v>0</v>
      </c>
      <c r="L300" s="209">
        <v>-520598.46</v>
      </c>
      <c r="M300" s="209">
        <v>162689.54</v>
      </c>
      <c r="N300" s="242">
        <v>130151.54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-87350.26</v>
      </c>
      <c r="H301" s="239"/>
      <c r="I301" s="239"/>
      <c r="J301" s="210">
        <v>-5982</v>
      </c>
      <c r="K301" s="209">
        <v>0</v>
      </c>
      <c r="L301" s="209">
        <v>-93332.26</v>
      </c>
      <c r="M301" s="209">
        <v>31899.74</v>
      </c>
      <c r="N301" s="242">
        <v>25917.74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-2298448.14</v>
      </c>
      <c r="H302" s="239"/>
      <c r="I302" s="239"/>
      <c r="J302" s="210">
        <v>-164176</v>
      </c>
      <c r="K302" s="209">
        <v>0</v>
      </c>
      <c r="L302" s="209">
        <v>-2462624.14</v>
      </c>
      <c r="M302" s="209">
        <v>985054.86</v>
      </c>
      <c r="N302" s="242">
        <v>820878.86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-68198</v>
      </c>
      <c r="H304" s="239"/>
      <c r="I304" s="239"/>
      <c r="J304" s="210">
        <v>-6546</v>
      </c>
      <c r="K304" s="209">
        <v>0</v>
      </c>
      <c r="L304" s="209">
        <v>-74744</v>
      </c>
      <c r="M304" s="209">
        <v>30002</v>
      </c>
      <c r="N304" s="242">
        <v>23456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-1107237</v>
      </c>
      <c r="H305" s="239"/>
      <c r="I305" s="239"/>
      <c r="J305" s="210">
        <v>0</v>
      </c>
      <c r="K305" s="209">
        <v>0</v>
      </c>
      <c r="L305" s="209">
        <v>-1107237</v>
      </c>
      <c r="M305" s="209">
        <v>0</v>
      </c>
      <c r="N305" s="242">
        <v>0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-20607504.710000001</v>
      </c>
      <c r="H306" s="244"/>
      <c r="I306" s="244"/>
      <c r="J306" s="208">
        <v>-752797</v>
      </c>
      <c r="K306" s="207">
        <v>0</v>
      </c>
      <c r="L306" s="207">
        <v>-21360301.710000001</v>
      </c>
      <c r="M306" s="207">
        <v>3383865.19</v>
      </c>
      <c r="N306" s="245">
        <v>2631068.19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-253101</v>
      </c>
      <c r="H311" s="239"/>
      <c r="I311" s="239"/>
      <c r="J311" s="210">
        <v>0</v>
      </c>
      <c r="K311" s="209">
        <v>0</v>
      </c>
      <c r="L311" s="209">
        <v>-253101</v>
      </c>
      <c r="M311" s="209">
        <v>0</v>
      </c>
      <c r="N311" s="242">
        <v>0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-300510.5</v>
      </c>
      <c r="H314" s="239"/>
      <c r="I314" s="239"/>
      <c r="J314" s="210">
        <v>0</v>
      </c>
      <c r="K314" s="209">
        <v>0</v>
      </c>
      <c r="L314" s="209">
        <v>-300510.5</v>
      </c>
      <c r="M314" s="209">
        <v>0</v>
      </c>
      <c r="N314" s="242">
        <v>0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-911136.8</v>
      </c>
      <c r="H315" s="239"/>
      <c r="I315" s="239"/>
      <c r="J315" s="210">
        <v>0</v>
      </c>
      <c r="K315" s="209">
        <v>0</v>
      </c>
      <c r="L315" s="209">
        <v>-911136.8</v>
      </c>
      <c r="M315" s="209">
        <v>0</v>
      </c>
      <c r="N315" s="242">
        <v>0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-14018558.199999999</v>
      </c>
      <c r="H316" s="244"/>
      <c r="I316" s="244"/>
      <c r="J316" s="208">
        <v>0</v>
      </c>
      <c r="K316" s="207">
        <v>0</v>
      </c>
      <c r="L316" s="207">
        <v>-14018558.199999999</v>
      </c>
      <c r="M316" s="207">
        <v>0.45</v>
      </c>
      <c r="N316" s="245">
        <v>0.45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-313654</v>
      </c>
      <c r="H334" s="239"/>
      <c r="I334" s="239"/>
      <c r="J334" s="210">
        <v>0</v>
      </c>
      <c r="K334" s="209">
        <v>0</v>
      </c>
      <c r="L334" s="209">
        <v>-313654</v>
      </c>
      <c r="M334" s="209">
        <v>0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-1244337</v>
      </c>
      <c r="H335" s="239"/>
      <c r="I335" s="239"/>
      <c r="J335" s="210">
        <v>0</v>
      </c>
      <c r="K335" s="209">
        <v>0</v>
      </c>
      <c r="L335" s="209">
        <v>-1244337</v>
      </c>
      <c r="M335" s="209">
        <v>0</v>
      </c>
      <c r="N335" s="242">
        <v>0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-1059450</v>
      </c>
      <c r="H341" s="239"/>
      <c r="I341" s="239"/>
      <c r="J341" s="210">
        <v>0</v>
      </c>
      <c r="K341" s="209">
        <v>0</v>
      </c>
      <c r="L341" s="209">
        <v>-1059450</v>
      </c>
      <c r="M341" s="209">
        <v>0</v>
      </c>
      <c r="N341" s="242">
        <v>0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-212984.04</v>
      </c>
      <c r="H342" s="239"/>
      <c r="I342" s="239"/>
      <c r="J342" s="210">
        <v>-13246</v>
      </c>
      <c r="K342" s="209">
        <v>0</v>
      </c>
      <c r="L342" s="209">
        <v>-226230.04</v>
      </c>
      <c r="M342" s="209">
        <v>51878.96</v>
      </c>
      <c r="N342" s="242">
        <v>38632.959999999999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-949602</v>
      </c>
      <c r="H353" s="239"/>
      <c r="I353" s="239"/>
      <c r="J353" s="210">
        <v>0</v>
      </c>
      <c r="K353" s="209">
        <v>0</v>
      </c>
      <c r="L353" s="209">
        <v>-949602</v>
      </c>
      <c r="M353" s="209">
        <v>0</v>
      </c>
      <c r="N353" s="242">
        <v>0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-363499.13</v>
      </c>
      <c r="H354" s="239"/>
      <c r="I354" s="239"/>
      <c r="J354" s="210">
        <v>-21045</v>
      </c>
      <c r="K354" s="209">
        <v>0</v>
      </c>
      <c r="L354" s="209">
        <v>-384544.13</v>
      </c>
      <c r="M354" s="209">
        <v>63133.87</v>
      </c>
      <c r="N354" s="242">
        <v>42088.87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-80000</v>
      </c>
      <c r="H357" s="239"/>
      <c r="I357" s="239"/>
      <c r="J357" s="210">
        <v>0</v>
      </c>
      <c r="K357" s="209">
        <v>0</v>
      </c>
      <c r="L357" s="209">
        <v>-80000</v>
      </c>
      <c r="M357" s="209">
        <v>0</v>
      </c>
      <c r="N357" s="242">
        <v>0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-77000</v>
      </c>
      <c r="H358" s="239"/>
      <c r="I358" s="239"/>
      <c r="J358" s="210">
        <v>0</v>
      </c>
      <c r="K358" s="209">
        <v>0</v>
      </c>
      <c r="L358" s="209">
        <v>-77000</v>
      </c>
      <c r="M358" s="209">
        <v>0</v>
      </c>
      <c r="N358" s="242">
        <v>0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-36712</v>
      </c>
      <c r="H359" s="239"/>
      <c r="I359" s="239"/>
      <c r="J359" s="210">
        <v>0</v>
      </c>
      <c r="K359" s="209">
        <v>0</v>
      </c>
      <c r="L359" s="209">
        <v>-36712</v>
      </c>
      <c r="M359" s="209">
        <v>0</v>
      </c>
      <c r="N359" s="242">
        <v>0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-24000</v>
      </c>
      <c r="H362" s="239"/>
      <c r="I362" s="239"/>
      <c r="J362" s="210">
        <v>0</v>
      </c>
      <c r="K362" s="209">
        <v>0</v>
      </c>
      <c r="L362" s="209">
        <v>-24000</v>
      </c>
      <c r="M362" s="209">
        <v>0</v>
      </c>
      <c r="N362" s="242">
        <v>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-3722130</v>
      </c>
      <c r="H365" s="239"/>
      <c r="I365" s="239"/>
      <c r="J365" s="210">
        <v>0</v>
      </c>
      <c r="K365" s="209">
        <v>0</v>
      </c>
      <c r="L365" s="209">
        <v>-3722130</v>
      </c>
      <c r="M365" s="209">
        <v>0</v>
      </c>
      <c r="N365" s="242">
        <v>0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-1953101</v>
      </c>
      <c r="H366" s="239"/>
      <c r="I366" s="239"/>
      <c r="J366" s="210">
        <v>0</v>
      </c>
      <c r="K366" s="209">
        <v>0</v>
      </c>
      <c r="L366" s="209">
        <v>-1953101</v>
      </c>
      <c r="M366" s="209">
        <v>0</v>
      </c>
      <c r="N366" s="242">
        <v>0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-897972</v>
      </c>
      <c r="H367" s="239"/>
      <c r="I367" s="239"/>
      <c r="J367" s="210">
        <v>0</v>
      </c>
      <c r="K367" s="209">
        <v>0</v>
      </c>
      <c r="L367" s="209">
        <v>-897972</v>
      </c>
      <c r="M367" s="209">
        <v>0</v>
      </c>
      <c r="N367" s="242">
        <v>0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-942422</v>
      </c>
      <c r="H368" s="239"/>
      <c r="I368" s="239"/>
      <c r="J368" s="210">
        <v>0</v>
      </c>
      <c r="K368" s="209">
        <v>0</v>
      </c>
      <c r="L368" s="209">
        <v>-942422</v>
      </c>
      <c r="M368" s="209">
        <v>0</v>
      </c>
      <c r="N368" s="242">
        <v>0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-489206</v>
      </c>
      <c r="H369" s="239"/>
      <c r="I369" s="239"/>
      <c r="J369" s="210">
        <v>0</v>
      </c>
      <c r="K369" s="209">
        <v>0</v>
      </c>
      <c r="L369" s="209">
        <v>-489206</v>
      </c>
      <c r="M369" s="209">
        <v>0</v>
      </c>
      <c r="N369" s="242">
        <v>0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-1051130.2</v>
      </c>
      <c r="H370" s="239"/>
      <c r="I370" s="239"/>
      <c r="J370" s="210">
        <v>-68551</v>
      </c>
      <c r="K370" s="209">
        <v>0</v>
      </c>
      <c r="L370" s="209">
        <v>-1119681.2</v>
      </c>
      <c r="M370" s="209">
        <v>319903.8</v>
      </c>
      <c r="N370" s="242">
        <v>251352.8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-2550415</v>
      </c>
      <c r="H371" s="239"/>
      <c r="I371" s="239"/>
      <c r="J371" s="210">
        <v>0</v>
      </c>
      <c r="K371" s="209">
        <v>0</v>
      </c>
      <c r="L371" s="209">
        <v>-2550415</v>
      </c>
      <c r="M371" s="209">
        <v>0</v>
      </c>
      <c r="N371" s="242">
        <v>0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-680588.65</v>
      </c>
      <c r="H372" s="239"/>
      <c r="I372" s="239"/>
      <c r="J372" s="210">
        <v>-44386</v>
      </c>
      <c r="K372" s="209">
        <v>0</v>
      </c>
      <c r="L372" s="209">
        <v>-724974.65</v>
      </c>
      <c r="M372" s="209">
        <v>650991.35</v>
      </c>
      <c r="N372" s="242">
        <v>606605.35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-811301</v>
      </c>
      <c r="H373" s="239"/>
      <c r="I373" s="239"/>
      <c r="J373" s="210">
        <v>0</v>
      </c>
      <c r="K373" s="209">
        <v>0</v>
      </c>
      <c r="L373" s="209">
        <v>-811301</v>
      </c>
      <c r="M373" s="209">
        <v>0</v>
      </c>
      <c r="N373" s="242">
        <v>0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-79700</v>
      </c>
      <c r="H375" s="239"/>
      <c r="I375" s="239"/>
      <c r="J375" s="210">
        <v>0</v>
      </c>
      <c r="K375" s="209">
        <v>0</v>
      </c>
      <c r="L375" s="209">
        <v>-79700</v>
      </c>
      <c r="M375" s="209">
        <v>0</v>
      </c>
      <c r="N375" s="242">
        <v>0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-90830</v>
      </c>
      <c r="H377" s="239"/>
      <c r="I377" s="239"/>
      <c r="J377" s="210">
        <v>0</v>
      </c>
      <c r="K377" s="209">
        <v>0</v>
      </c>
      <c r="L377" s="209">
        <v>-90830</v>
      </c>
      <c r="M377" s="209">
        <v>0</v>
      </c>
      <c r="N377" s="242">
        <v>0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-91450</v>
      </c>
      <c r="H383" s="239"/>
      <c r="I383" s="239"/>
      <c r="J383" s="210">
        <v>0</v>
      </c>
      <c r="K383" s="209">
        <v>0</v>
      </c>
      <c r="L383" s="209">
        <v>-91450</v>
      </c>
      <c r="M383" s="209">
        <v>0</v>
      </c>
      <c r="N383" s="242">
        <v>0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-194385.55</v>
      </c>
      <c r="H384" s="239"/>
      <c r="I384" s="239"/>
      <c r="J384" s="210">
        <v>0</v>
      </c>
      <c r="K384" s="209">
        <v>0</v>
      </c>
      <c r="L384" s="209">
        <v>-194385.55</v>
      </c>
      <c r="M384" s="209">
        <v>0</v>
      </c>
      <c r="N384" s="242">
        <v>0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-125000</v>
      </c>
      <c r="H385" s="239"/>
      <c r="I385" s="239"/>
      <c r="J385" s="210">
        <v>0</v>
      </c>
      <c r="K385" s="209">
        <v>0</v>
      </c>
      <c r="L385" s="209">
        <v>-125000</v>
      </c>
      <c r="M385" s="209">
        <v>0</v>
      </c>
      <c r="N385" s="242">
        <v>0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-303679.23</v>
      </c>
      <c r="H387" s="239"/>
      <c r="I387" s="239"/>
      <c r="J387" s="210">
        <v>0</v>
      </c>
      <c r="K387" s="209">
        <v>0</v>
      </c>
      <c r="L387" s="209">
        <v>-303679.23</v>
      </c>
      <c r="M387" s="209">
        <v>0</v>
      </c>
      <c r="N387" s="242">
        <v>0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-1005105</v>
      </c>
      <c r="H388" s="239"/>
      <c r="I388" s="239"/>
      <c r="J388" s="210">
        <v>0</v>
      </c>
      <c r="K388" s="209">
        <v>0</v>
      </c>
      <c r="L388" s="209">
        <v>-1005105</v>
      </c>
      <c r="M388" s="209">
        <v>0</v>
      </c>
      <c r="N388" s="242">
        <v>0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-51000</v>
      </c>
      <c r="H389" s="239"/>
      <c r="I389" s="239"/>
      <c r="J389" s="210">
        <v>0</v>
      </c>
      <c r="K389" s="209">
        <v>0</v>
      </c>
      <c r="L389" s="209">
        <v>-51000</v>
      </c>
      <c r="M389" s="209">
        <v>0</v>
      </c>
      <c r="N389" s="242">
        <v>0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-62564</v>
      </c>
      <c r="H390" s="239"/>
      <c r="I390" s="239"/>
      <c r="J390" s="210">
        <v>0</v>
      </c>
      <c r="K390" s="209">
        <v>0</v>
      </c>
      <c r="L390" s="209">
        <v>-62564</v>
      </c>
      <c r="M390" s="209">
        <v>0</v>
      </c>
      <c r="N390" s="242">
        <v>0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-386738.72</v>
      </c>
      <c r="H391" s="239"/>
      <c r="I391" s="239"/>
      <c r="J391" s="210">
        <v>-0.28000000000000003</v>
      </c>
      <c r="K391" s="209">
        <v>0</v>
      </c>
      <c r="L391" s="209">
        <v>-386739</v>
      </c>
      <c r="M391" s="209">
        <v>0.28000000000000003</v>
      </c>
      <c r="N391" s="242">
        <v>0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-272154.56</v>
      </c>
      <c r="H392" s="239"/>
      <c r="I392" s="239"/>
      <c r="J392" s="210">
        <v>-18143</v>
      </c>
      <c r="K392" s="209">
        <v>0</v>
      </c>
      <c r="L392" s="209">
        <v>-290297.56</v>
      </c>
      <c r="M392" s="209">
        <v>272144.3</v>
      </c>
      <c r="N392" s="242">
        <v>254001.3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-685163.89</v>
      </c>
      <c r="H393" s="239"/>
      <c r="I393" s="239"/>
      <c r="J393" s="210">
        <v>-0.45</v>
      </c>
      <c r="K393" s="209">
        <v>0</v>
      </c>
      <c r="L393" s="209">
        <v>-685164.34</v>
      </c>
      <c r="M393" s="209">
        <v>0.45</v>
      </c>
      <c r="N393" s="242">
        <v>0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-1023589.89</v>
      </c>
      <c r="H394" s="239"/>
      <c r="I394" s="239"/>
      <c r="J394" s="210">
        <v>-0.41</v>
      </c>
      <c r="K394" s="209">
        <v>0</v>
      </c>
      <c r="L394" s="209">
        <v>-1023590.3</v>
      </c>
      <c r="M394" s="209">
        <v>0.41</v>
      </c>
      <c r="N394" s="242">
        <v>0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-1857042.34</v>
      </c>
      <c r="H395" s="239"/>
      <c r="I395" s="239"/>
      <c r="J395" s="210">
        <v>0</v>
      </c>
      <c r="K395" s="209">
        <v>0</v>
      </c>
      <c r="L395" s="209">
        <v>-1857042.34</v>
      </c>
      <c r="M395" s="209">
        <v>0</v>
      </c>
      <c r="N395" s="242">
        <v>0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-653290.43999999994</v>
      </c>
      <c r="H396" s="239"/>
      <c r="I396" s="239"/>
      <c r="J396" s="210">
        <v>-43554</v>
      </c>
      <c r="K396" s="209">
        <v>0</v>
      </c>
      <c r="L396" s="209">
        <v>-696844.44</v>
      </c>
      <c r="M396" s="209">
        <v>653308.56000000006</v>
      </c>
      <c r="N396" s="242">
        <v>609754.56000000006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-128100</v>
      </c>
      <c r="H400" s="239"/>
      <c r="I400" s="239"/>
      <c r="J400" s="210">
        <v>0</v>
      </c>
      <c r="K400" s="209">
        <v>0</v>
      </c>
      <c r="L400" s="209">
        <v>-128100</v>
      </c>
      <c r="M400" s="209">
        <v>0</v>
      </c>
      <c r="N400" s="242">
        <v>0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-60000</v>
      </c>
      <c r="H402" s="239"/>
      <c r="I402" s="239"/>
      <c r="J402" s="210">
        <v>0</v>
      </c>
      <c r="K402" s="209">
        <v>0</v>
      </c>
      <c r="L402" s="209">
        <v>-60000</v>
      </c>
      <c r="M402" s="209">
        <v>0</v>
      </c>
      <c r="N402" s="242">
        <v>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-46624</v>
      </c>
      <c r="H403" s="239"/>
      <c r="I403" s="239"/>
      <c r="J403" s="210">
        <v>0</v>
      </c>
      <c r="K403" s="209">
        <v>0</v>
      </c>
      <c r="L403" s="209">
        <v>-46624</v>
      </c>
      <c r="M403" s="209">
        <v>0</v>
      </c>
      <c r="N403" s="242">
        <v>0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-421989.37</v>
      </c>
      <c r="H406" s="239"/>
      <c r="I406" s="239"/>
      <c r="J406" s="210">
        <v>-28938</v>
      </c>
      <c r="K406" s="209">
        <v>0</v>
      </c>
      <c r="L406" s="209">
        <v>-450927.37</v>
      </c>
      <c r="M406" s="209">
        <v>156745.63</v>
      </c>
      <c r="N406" s="242">
        <v>127807.63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-737469.86</v>
      </c>
      <c r="H407" s="239"/>
      <c r="I407" s="239"/>
      <c r="J407" s="210">
        <v>-25430.14</v>
      </c>
      <c r="K407" s="209">
        <v>0</v>
      </c>
      <c r="L407" s="209">
        <v>-762900</v>
      </c>
      <c r="M407" s="209">
        <v>25430.14</v>
      </c>
      <c r="N407" s="242">
        <v>0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-43000</v>
      </c>
      <c r="H415" s="239"/>
      <c r="I415" s="239"/>
      <c r="J415" s="210">
        <v>0</v>
      </c>
      <c r="K415" s="209">
        <v>0</v>
      </c>
      <c r="L415" s="209">
        <v>-43000</v>
      </c>
      <c r="M415" s="209">
        <v>0</v>
      </c>
      <c r="N415" s="242">
        <v>0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-134255.97</v>
      </c>
      <c r="H417" s="239"/>
      <c r="I417" s="239"/>
      <c r="J417" s="210">
        <v>-6244.03</v>
      </c>
      <c r="K417" s="209">
        <v>0</v>
      </c>
      <c r="L417" s="209">
        <v>-140500</v>
      </c>
      <c r="M417" s="209">
        <v>6244.03</v>
      </c>
      <c r="N417" s="242">
        <v>0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-403532.49</v>
      </c>
      <c r="H418" s="239"/>
      <c r="I418" s="239"/>
      <c r="J418" s="210">
        <v>0</v>
      </c>
      <c r="K418" s="209">
        <v>0</v>
      </c>
      <c r="L418" s="209">
        <v>-403532.49</v>
      </c>
      <c r="M418" s="209">
        <v>0</v>
      </c>
      <c r="N418" s="242">
        <v>0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-143764.99</v>
      </c>
      <c r="H420" s="239"/>
      <c r="I420" s="239"/>
      <c r="J420" s="210">
        <v>-10031</v>
      </c>
      <c r="K420" s="209">
        <v>0</v>
      </c>
      <c r="L420" s="209">
        <v>-153795.99</v>
      </c>
      <c r="M420" s="209">
        <v>56843.01</v>
      </c>
      <c r="N420" s="242">
        <v>46812.01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-250000</v>
      </c>
      <c r="H423" s="239"/>
      <c r="I423" s="239"/>
      <c r="J423" s="210">
        <v>0</v>
      </c>
      <c r="K423" s="209">
        <v>0</v>
      </c>
      <c r="L423" s="209">
        <v>-250000</v>
      </c>
      <c r="M423" s="209">
        <v>0</v>
      </c>
      <c r="N423" s="242">
        <v>0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-205000</v>
      </c>
      <c r="H424" s="239"/>
      <c r="I424" s="239"/>
      <c r="J424" s="210">
        <v>0</v>
      </c>
      <c r="K424" s="209">
        <v>0</v>
      </c>
      <c r="L424" s="209">
        <v>-205000</v>
      </c>
      <c r="M424" s="209">
        <v>0</v>
      </c>
      <c r="N424" s="242">
        <v>0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-56474.5</v>
      </c>
      <c r="H426" s="239"/>
      <c r="I426" s="239"/>
      <c r="J426" s="210">
        <v>0</v>
      </c>
      <c r="K426" s="209">
        <v>0</v>
      </c>
      <c r="L426" s="209">
        <v>-56474.5</v>
      </c>
      <c r="M426" s="209">
        <v>0</v>
      </c>
      <c r="N426" s="242">
        <v>0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-172838.3</v>
      </c>
      <c r="H427" s="239"/>
      <c r="I427" s="239"/>
      <c r="J427" s="210">
        <v>-11248.7</v>
      </c>
      <c r="K427" s="209">
        <v>0</v>
      </c>
      <c r="L427" s="209">
        <v>-184087</v>
      </c>
      <c r="M427" s="209">
        <v>11248.7</v>
      </c>
      <c r="N427" s="242">
        <v>0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-82085</v>
      </c>
      <c r="H428" s="239"/>
      <c r="I428" s="239"/>
      <c r="J428" s="210">
        <v>0</v>
      </c>
      <c r="K428" s="209">
        <v>0</v>
      </c>
      <c r="L428" s="209">
        <v>-82085</v>
      </c>
      <c r="M428" s="209">
        <v>0</v>
      </c>
      <c r="N428" s="242">
        <v>0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-30500</v>
      </c>
      <c r="H429" s="239"/>
      <c r="I429" s="239"/>
      <c r="J429" s="210">
        <v>0</v>
      </c>
      <c r="K429" s="209">
        <v>0</v>
      </c>
      <c r="L429" s="209">
        <v>-30500</v>
      </c>
      <c r="M429" s="209">
        <v>0</v>
      </c>
      <c r="N429" s="242">
        <v>0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-110000</v>
      </c>
      <c r="H430" s="239"/>
      <c r="I430" s="239"/>
      <c r="J430" s="210">
        <v>0</v>
      </c>
      <c r="K430" s="209">
        <v>0</v>
      </c>
      <c r="L430" s="209">
        <v>-110000</v>
      </c>
      <c r="M430" s="209">
        <v>0</v>
      </c>
      <c r="N430" s="242">
        <v>0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-46500</v>
      </c>
      <c r="H431" s="239"/>
      <c r="I431" s="239"/>
      <c r="J431" s="210">
        <v>0</v>
      </c>
      <c r="K431" s="209">
        <v>0</v>
      </c>
      <c r="L431" s="209">
        <v>-46500</v>
      </c>
      <c r="M431" s="209">
        <v>0</v>
      </c>
      <c r="N431" s="242">
        <v>0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-150489</v>
      </c>
      <c r="H432" s="239"/>
      <c r="I432" s="239"/>
      <c r="J432" s="210">
        <v>0</v>
      </c>
      <c r="K432" s="209">
        <v>0</v>
      </c>
      <c r="L432" s="209">
        <v>-150489</v>
      </c>
      <c r="M432" s="209">
        <v>0</v>
      </c>
      <c r="N432" s="242">
        <v>0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-676214.51</v>
      </c>
      <c r="H433" s="239"/>
      <c r="I433" s="239"/>
      <c r="J433" s="210">
        <v>-48301</v>
      </c>
      <c r="K433" s="209">
        <v>0</v>
      </c>
      <c r="L433" s="209">
        <v>-724515.51</v>
      </c>
      <c r="M433" s="209">
        <v>48301.49</v>
      </c>
      <c r="N433" s="242">
        <v>0.49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-280081.15000000002</v>
      </c>
      <c r="H435" s="239"/>
      <c r="I435" s="239"/>
      <c r="J435" s="210">
        <v>-20006.849999999999</v>
      </c>
      <c r="K435" s="209">
        <v>0</v>
      </c>
      <c r="L435" s="209">
        <v>-300088</v>
      </c>
      <c r="M435" s="209">
        <v>20006.849999999999</v>
      </c>
      <c r="N435" s="242">
        <v>0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-62066.26</v>
      </c>
      <c r="H436" s="239"/>
      <c r="I436" s="239"/>
      <c r="J436" s="210">
        <v>-4433.74</v>
      </c>
      <c r="K436" s="209">
        <v>0</v>
      </c>
      <c r="L436" s="209">
        <v>-66500</v>
      </c>
      <c r="M436" s="209">
        <v>4433.74</v>
      </c>
      <c r="N436" s="242">
        <v>0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-62066.26</v>
      </c>
      <c r="H437" s="239"/>
      <c r="I437" s="239"/>
      <c r="J437" s="210">
        <v>-4433.74</v>
      </c>
      <c r="K437" s="209">
        <v>0</v>
      </c>
      <c r="L437" s="209">
        <v>-66500</v>
      </c>
      <c r="M437" s="209">
        <v>4433.74</v>
      </c>
      <c r="N437" s="242">
        <v>0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-62066.26</v>
      </c>
      <c r="H438" s="239"/>
      <c r="I438" s="239"/>
      <c r="J438" s="210">
        <v>-4433.74</v>
      </c>
      <c r="K438" s="209">
        <v>0</v>
      </c>
      <c r="L438" s="209">
        <v>-66500</v>
      </c>
      <c r="M438" s="209">
        <v>4433.74</v>
      </c>
      <c r="N438" s="242">
        <v>0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-62066.26</v>
      </c>
      <c r="H439" s="239"/>
      <c r="I439" s="239"/>
      <c r="J439" s="210">
        <v>-4433.74</v>
      </c>
      <c r="K439" s="209">
        <v>0</v>
      </c>
      <c r="L439" s="209">
        <v>-66500</v>
      </c>
      <c r="M439" s="209">
        <v>4433.74</v>
      </c>
      <c r="N439" s="242">
        <v>0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-62066.26</v>
      </c>
      <c r="H440" s="239"/>
      <c r="I440" s="239"/>
      <c r="J440" s="210">
        <v>-4433.74</v>
      </c>
      <c r="K440" s="209">
        <v>0</v>
      </c>
      <c r="L440" s="209">
        <v>-66500</v>
      </c>
      <c r="M440" s="209">
        <v>4433.74</v>
      </c>
      <c r="N440" s="242">
        <v>0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-62066.26</v>
      </c>
      <c r="H441" s="239"/>
      <c r="I441" s="239"/>
      <c r="J441" s="210">
        <v>-4433.74</v>
      </c>
      <c r="K441" s="209">
        <v>0</v>
      </c>
      <c r="L441" s="209">
        <v>-66500</v>
      </c>
      <c r="M441" s="209">
        <v>4433.74</v>
      </c>
      <c r="N441" s="242">
        <v>0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-62066.26</v>
      </c>
      <c r="H442" s="239"/>
      <c r="I442" s="239"/>
      <c r="J442" s="210">
        <v>-4433.74</v>
      </c>
      <c r="K442" s="209">
        <v>0</v>
      </c>
      <c r="L442" s="209">
        <v>-66500</v>
      </c>
      <c r="M442" s="209">
        <v>4433.74</v>
      </c>
      <c r="N442" s="242">
        <v>0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-62066.26</v>
      </c>
      <c r="H443" s="239"/>
      <c r="I443" s="239"/>
      <c r="J443" s="210">
        <v>-4433.74</v>
      </c>
      <c r="K443" s="209">
        <v>0</v>
      </c>
      <c r="L443" s="209">
        <v>-66500</v>
      </c>
      <c r="M443" s="209">
        <v>4433.74</v>
      </c>
      <c r="N443" s="242">
        <v>0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-294240.55</v>
      </c>
      <c r="H444" s="239"/>
      <c r="I444" s="239"/>
      <c r="J444" s="210">
        <v>-21018</v>
      </c>
      <c r="K444" s="209">
        <v>0</v>
      </c>
      <c r="L444" s="209">
        <v>-315258.55</v>
      </c>
      <c r="M444" s="209">
        <v>126108.45</v>
      </c>
      <c r="N444" s="242">
        <v>105090.45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-68000</v>
      </c>
      <c r="H447" s="239"/>
      <c r="I447" s="239"/>
      <c r="J447" s="210">
        <v>0</v>
      </c>
      <c r="K447" s="209">
        <v>0</v>
      </c>
      <c r="L447" s="209">
        <v>-68000</v>
      </c>
      <c r="M447" s="209">
        <v>0</v>
      </c>
      <c r="N447" s="242">
        <v>0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-175100</v>
      </c>
      <c r="H450" s="239"/>
      <c r="I450" s="239"/>
      <c r="J450" s="210">
        <v>0</v>
      </c>
      <c r="K450" s="209">
        <v>0</v>
      </c>
      <c r="L450" s="209">
        <v>-175100</v>
      </c>
      <c r="M450" s="209">
        <v>0</v>
      </c>
      <c r="N450" s="242">
        <v>0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-75350</v>
      </c>
      <c r="H465" s="239"/>
      <c r="I465" s="239"/>
      <c r="J465" s="210">
        <v>0</v>
      </c>
      <c r="K465" s="209">
        <v>0</v>
      </c>
      <c r="L465" s="209">
        <v>-75350</v>
      </c>
      <c r="M465" s="209">
        <v>0</v>
      </c>
      <c r="N465" s="242">
        <v>0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-75350</v>
      </c>
      <c r="H466" s="239"/>
      <c r="I466" s="239"/>
      <c r="J466" s="210">
        <v>0</v>
      </c>
      <c r="K466" s="209">
        <v>0</v>
      </c>
      <c r="L466" s="209">
        <v>-75350</v>
      </c>
      <c r="M466" s="209">
        <v>0</v>
      </c>
      <c r="N466" s="242">
        <v>0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-75350</v>
      </c>
      <c r="H467" s="239"/>
      <c r="I467" s="239"/>
      <c r="J467" s="210">
        <v>0</v>
      </c>
      <c r="K467" s="209">
        <v>0</v>
      </c>
      <c r="L467" s="209">
        <v>-75350</v>
      </c>
      <c r="M467" s="209">
        <v>0</v>
      </c>
      <c r="N467" s="242">
        <v>0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-75350</v>
      </c>
      <c r="H468" s="239"/>
      <c r="I468" s="239"/>
      <c r="J468" s="210">
        <v>0</v>
      </c>
      <c r="K468" s="209">
        <v>0</v>
      </c>
      <c r="L468" s="209">
        <v>-75350</v>
      </c>
      <c r="M468" s="209">
        <v>0</v>
      </c>
      <c r="N468" s="242">
        <v>0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-76383</v>
      </c>
      <c r="H469" s="239"/>
      <c r="I469" s="239"/>
      <c r="J469" s="210">
        <v>0</v>
      </c>
      <c r="K469" s="209">
        <v>0</v>
      </c>
      <c r="L469" s="209">
        <v>-76383</v>
      </c>
      <c r="M469" s="209">
        <v>0</v>
      </c>
      <c r="N469" s="242">
        <v>0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-76383</v>
      </c>
      <c r="H470" s="239"/>
      <c r="I470" s="239"/>
      <c r="J470" s="210">
        <v>0</v>
      </c>
      <c r="K470" s="209">
        <v>0</v>
      </c>
      <c r="L470" s="209">
        <v>-76383</v>
      </c>
      <c r="M470" s="209">
        <v>0</v>
      </c>
      <c r="N470" s="242">
        <v>0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-76383</v>
      </c>
      <c r="H471" s="239"/>
      <c r="I471" s="239"/>
      <c r="J471" s="210">
        <v>0</v>
      </c>
      <c r="K471" s="209">
        <v>0</v>
      </c>
      <c r="L471" s="209">
        <v>-76383</v>
      </c>
      <c r="M471" s="209">
        <v>0</v>
      </c>
      <c r="N471" s="242">
        <v>0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-33519</v>
      </c>
      <c r="H473" s="239"/>
      <c r="I473" s="239"/>
      <c r="J473" s="210">
        <v>0</v>
      </c>
      <c r="K473" s="209">
        <v>0</v>
      </c>
      <c r="L473" s="209">
        <v>-33519</v>
      </c>
      <c r="M473" s="209">
        <v>0</v>
      </c>
      <c r="N473" s="242">
        <v>0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-177724.29</v>
      </c>
      <c r="H483" s="239"/>
      <c r="I483" s="239"/>
      <c r="J483" s="210">
        <v>-13672</v>
      </c>
      <c r="K483" s="209">
        <v>0</v>
      </c>
      <c r="L483" s="209">
        <v>-191396.29</v>
      </c>
      <c r="M483" s="209">
        <v>27343.71</v>
      </c>
      <c r="N483" s="242">
        <v>13671.71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-52832</v>
      </c>
      <c r="H484" s="239"/>
      <c r="I484" s="239"/>
      <c r="J484" s="210">
        <v>0</v>
      </c>
      <c r="K484" s="209">
        <v>0</v>
      </c>
      <c r="L484" s="209">
        <v>-52832</v>
      </c>
      <c r="M484" s="209">
        <v>0</v>
      </c>
      <c r="N484" s="242">
        <v>0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-54220.09</v>
      </c>
      <c r="H485" s="239"/>
      <c r="I485" s="239"/>
      <c r="J485" s="210">
        <v>-4170</v>
      </c>
      <c r="K485" s="209">
        <v>0</v>
      </c>
      <c r="L485" s="209">
        <v>-58390.09</v>
      </c>
      <c r="M485" s="209">
        <v>8339.91</v>
      </c>
      <c r="N485" s="242">
        <v>4169.91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-54220.09</v>
      </c>
      <c r="H486" s="239"/>
      <c r="I486" s="239"/>
      <c r="J486" s="210">
        <v>-4170</v>
      </c>
      <c r="K486" s="209">
        <v>0</v>
      </c>
      <c r="L486" s="209">
        <v>-58390.09</v>
      </c>
      <c r="M486" s="209">
        <v>8339.91</v>
      </c>
      <c r="N486" s="242">
        <v>4169.91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-54220.09</v>
      </c>
      <c r="H487" s="239"/>
      <c r="I487" s="239"/>
      <c r="J487" s="210">
        <v>-4170</v>
      </c>
      <c r="K487" s="209">
        <v>0</v>
      </c>
      <c r="L487" s="209">
        <v>-58390.09</v>
      </c>
      <c r="M487" s="209">
        <v>8339.91</v>
      </c>
      <c r="N487" s="242">
        <v>4169.91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-54220.09</v>
      </c>
      <c r="H488" s="239"/>
      <c r="I488" s="239"/>
      <c r="J488" s="210">
        <v>-4170</v>
      </c>
      <c r="K488" s="209">
        <v>0</v>
      </c>
      <c r="L488" s="209">
        <v>-58390.09</v>
      </c>
      <c r="M488" s="209">
        <v>8339.91</v>
      </c>
      <c r="N488" s="242">
        <v>4169.91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-54220.09</v>
      </c>
      <c r="H489" s="239"/>
      <c r="I489" s="239"/>
      <c r="J489" s="210">
        <v>-4170</v>
      </c>
      <c r="K489" s="209">
        <v>0</v>
      </c>
      <c r="L489" s="209">
        <v>-58390.09</v>
      </c>
      <c r="M489" s="209">
        <v>8339.91</v>
      </c>
      <c r="N489" s="242">
        <v>4169.91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-54220.09</v>
      </c>
      <c r="H490" s="239"/>
      <c r="I490" s="239"/>
      <c r="J490" s="210">
        <v>-4170</v>
      </c>
      <c r="K490" s="209">
        <v>0</v>
      </c>
      <c r="L490" s="209">
        <v>-58390.09</v>
      </c>
      <c r="M490" s="209">
        <v>8339.91</v>
      </c>
      <c r="N490" s="242">
        <v>4169.91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-54220.09</v>
      </c>
      <c r="H491" s="239"/>
      <c r="I491" s="239"/>
      <c r="J491" s="210">
        <v>-4170</v>
      </c>
      <c r="K491" s="209">
        <v>0</v>
      </c>
      <c r="L491" s="209">
        <v>-58390.09</v>
      </c>
      <c r="M491" s="209">
        <v>8339.91</v>
      </c>
      <c r="N491" s="242">
        <v>4169.91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-54220.09</v>
      </c>
      <c r="H492" s="239"/>
      <c r="I492" s="239"/>
      <c r="J492" s="210">
        <v>-4170</v>
      </c>
      <c r="K492" s="209">
        <v>0</v>
      </c>
      <c r="L492" s="209">
        <v>-58390.09</v>
      </c>
      <c r="M492" s="209">
        <v>8339.91</v>
      </c>
      <c r="N492" s="242">
        <v>4169.91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-54220.09</v>
      </c>
      <c r="H493" s="239"/>
      <c r="I493" s="239"/>
      <c r="J493" s="210">
        <v>-4170</v>
      </c>
      <c r="K493" s="209">
        <v>0</v>
      </c>
      <c r="L493" s="209">
        <v>-58390.09</v>
      </c>
      <c r="M493" s="209">
        <v>8339.91</v>
      </c>
      <c r="N493" s="242">
        <v>4169.91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-54220.09</v>
      </c>
      <c r="H494" s="239"/>
      <c r="I494" s="239"/>
      <c r="J494" s="210">
        <v>-4170</v>
      </c>
      <c r="K494" s="209">
        <v>0</v>
      </c>
      <c r="L494" s="209">
        <v>-58390.09</v>
      </c>
      <c r="M494" s="209">
        <v>8339.91</v>
      </c>
      <c r="N494" s="242">
        <v>4169.91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-54220.09</v>
      </c>
      <c r="H495" s="239"/>
      <c r="I495" s="239"/>
      <c r="J495" s="210">
        <v>-4170</v>
      </c>
      <c r="K495" s="209">
        <v>0</v>
      </c>
      <c r="L495" s="209">
        <v>-58390.09</v>
      </c>
      <c r="M495" s="209">
        <v>8339.91</v>
      </c>
      <c r="N495" s="242">
        <v>4169.91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-54220.09</v>
      </c>
      <c r="H496" s="239"/>
      <c r="I496" s="239"/>
      <c r="J496" s="210">
        <v>-4170</v>
      </c>
      <c r="K496" s="209">
        <v>0</v>
      </c>
      <c r="L496" s="209">
        <v>-58390.09</v>
      </c>
      <c r="M496" s="209">
        <v>8339.91</v>
      </c>
      <c r="N496" s="242">
        <v>4169.91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-54220.09</v>
      </c>
      <c r="H497" s="239"/>
      <c r="I497" s="239"/>
      <c r="J497" s="210">
        <v>-4170</v>
      </c>
      <c r="K497" s="209">
        <v>0</v>
      </c>
      <c r="L497" s="209">
        <v>-58390.09</v>
      </c>
      <c r="M497" s="209">
        <v>8339.91</v>
      </c>
      <c r="N497" s="242">
        <v>4169.91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-54220.09</v>
      </c>
      <c r="H498" s="239"/>
      <c r="I498" s="239"/>
      <c r="J498" s="210">
        <v>-4170</v>
      </c>
      <c r="K498" s="209">
        <v>0</v>
      </c>
      <c r="L498" s="209">
        <v>-58390.09</v>
      </c>
      <c r="M498" s="209">
        <v>8339.91</v>
      </c>
      <c r="N498" s="242">
        <v>4169.91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-175800</v>
      </c>
      <c r="H500" s="239"/>
      <c r="I500" s="239"/>
      <c r="J500" s="210">
        <v>0</v>
      </c>
      <c r="K500" s="209">
        <v>0</v>
      </c>
      <c r="L500" s="209">
        <v>-175800</v>
      </c>
      <c r="M500" s="209">
        <v>0</v>
      </c>
      <c r="N500" s="242">
        <v>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-491708.96</v>
      </c>
      <c r="H502" s="239"/>
      <c r="I502" s="239"/>
      <c r="J502" s="210">
        <v>-39090</v>
      </c>
      <c r="K502" s="209">
        <v>0</v>
      </c>
      <c r="L502" s="209">
        <v>-530798.96</v>
      </c>
      <c r="M502" s="209">
        <v>94467.85</v>
      </c>
      <c r="N502" s="242">
        <v>55377.85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-271798.21999999997</v>
      </c>
      <c r="H503" s="239"/>
      <c r="I503" s="239"/>
      <c r="J503" s="210">
        <v>0</v>
      </c>
      <c r="K503" s="209">
        <v>0</v>
      </c>
      <c r="L503" s="209">
        <v>-271798.21999999997</v>
      </c>
      <c r="M503" s="209">
        <v>0</v>
      </c>
      <c r="N503" s="242">
        <v>0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-86764.85</v>
      </c>
      <c r="H504" s="239"/>
      <c r="I504" s="239"/>
      <c r="J504" s="210">
        <v>0</v>
      </c>
      <c r="K504" s="209">
        <v>0</v>
      </c>
      <c r="L504" s="209">
        <v>-86764.85</v>
      </c>
      <c r="M504" s="209">
        <v>0</v>
      </c>
      <c r="N504" s="242">
        <v>0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-1000000</v>
      </c>
      <c r="H505" s="239"/>
      <c r="I505" s="239"/>
      <c r="J505" s="210">
        <v>0</v>
      </c>
      <c r="K505" s="209">
        <v>0</v>
      </c>
      <c r="L505" s="209">
        <v>-1000000</v>
      </c>
      <c r="M505" s="209">
        <v>0</v>
      </c>
      <c r="N505" s="242">
        <v>0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-259436</v>
      </c>
      <c r="H507" s="239"/>
      <c r="I507" s="239"/>
      <c r="J507" s="210">
        <v>0</v>
      </c>
      <c r="K507" s="209">
        <v>0</v>
      </c>
      <c r="L507" s="209">
        <v>-259436</v>
      </c>
      <c r="M507" s="209">
        <v>0</v>
      </c>
      <c r="N507" s="242">
        <v>0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-228654</v>
      </c>
      <c r="H509" s="239"/>
      <c r="I509" s="239"/>
      <c r="J509" s="210">
        <v>0</v>
      </c>
      <c r="K509" s="209">
        <v>0</v>
      </c>
      <c r="L509" s="209">
        <v>-228654</v>
      </c>
      <c r="M509" s="209">
        <v>0</v>
      </c>
      <c r="N509" s="242">
        <v>0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-260000</v>
      </c>
      <c r="H510" s="239"/>
      <c r="I510" s="239"/>
      <c r="J510" s="210">
        <v>0</v>
      </c>
      <c r="K510" s="209">
        <v>0</v>
      </c>
      <c r="L510" s="209">
        <v>-260000</v>
      </c>
      <c r="M510" s="209">
        <v>0</v>
      </c>
      <c r="N510" s="242">
        <v>0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-142269.65</v>
      </c>
      <c r="H513" s="239"/>
      <c r="I513" s="239"/>
      <c r="J513" s="210">
        <v>0</v>
      </c>
      <c r="K513" s="209">
        <v>0</v>
      </c>
      <c r="L513" s="209">
        <v>-142269.65</v>
      </c>
      <c r="M513" s="209">
        <v>0</v>
      </c>
      <c r="N513" s="242">
        <v>0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-22820.75</v>
      </c>
      <c r="H514" s="239"/>
      <c r="I514" s="239"/>
      <c r="J514" s="210">
        <v>0</v>
      </c>
      <c r="K514" s="209">
        <v>0</v>
      </c>
      <c r="L514" s="209">
        <v>-22820.75</v>
      </c>
      <c r="M514" s="209">
        <v>0</v>
      </c>
      <c r="N514" s="242">
        <v>0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-28030.66</v>
      </c>
      <c r="H515" s="239"/>
      <c r="I515" s="239"/>
      <c r="J515" s="210">
        <v>0</v>
      </c>
      <c r="K515" s="209">
        <v>0</v>
      </c>
      <c r="L515" s="209">
        <v>-28030.66</v>
      </c>
      <c r="M515" s="209">
        <v>0</v>
      </c>
      <c r="N515" s="242">
        <v>0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-45641.36</v>
      </c>
      <c r="H516" s="239"/>
      <c r="I516" s="239"/>
      <c r="J516" s="210">
        <v>0</v>
      </c>
      <c r="K516" s="209">
        <v>0</v>
      </c>
      <c r="L516" s="209">
        <v>-45641.36</v>
      </c>
      <c r="M516" s="209">
        <v>0</v>
      </c>
      <c r="N516" s="242">
        <v>0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-53937.48</v>
      </c>
      <c r="H517" s="239"/>
      <c r="I517" s="239"/>
      <c r="J517" s="210">
        <v>-4434</v>
      </c>
      <c r="K517" s="209">
        <v>0</v>
      </c>
      <c r="L517" s="209">
        <v>-58371.48</v>
      </c>
      <c r="M517" s="209">
        <v>12562.52</v>
      </c>
      <c r="N517" s="242">
        <v>8128.52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-53937.48</v>
      </c>
      <c r="H518" s="239"/>
      <c r="I518" s="239"/>
      <c r="J518" s="210">
        <v>-4434</v>
      </c>
      <c r="K518" s="209">
        <v>0</v>
      </c>
      <c r="L518" s="209">
        <v>-58371.48</v>
      </c>
      <c r="M518" s="209">
        <v>12562.52</v>
      </c>
      <c r="N518" s="242">
        <v>8128.52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-53937.48</v>
      </c>
      <c r="H519" s="239"/>
      <c r="I519" s="239"/>
      <c r="J519" s="210">
        <v>-4434</v>
      </c>
      <c r="K519" s="209">
        <v>0</v>
      </c>
      <c r="L519" s="209">
        <v>-58371.48</v>
      </c>
      <c r="M519" s="209">
        <v>12562.52</v>
      </c>
      <c r="N519" s="242">
        <v>8128.52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-53937.48</v>
      </c>
      <c r="H520" s="239"/>
      <c r="I520" s="239"/>
      <c r="J520" s="210">
        <v>-4434</v>
      </c>
      <c r="K520" s="209">
        <v>0</v>
      </c>
      <c r="L520" s="209">
        <v>-58371.48</v>
      </c>
      <c r="M520" s="209">
        <v>12562.52</v>
      </c>
      <c r="N520" s="242">
        <v>8128.52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-53937.48</v>
      </c>
      <c r="H521" s="239"/>
      <c r="I521" s="239"/>
      <c r="J521" s="210">
        <v>-4434</v>
      </c>
      <c r="K521" s="209">
        <v>0</v>
      </c>
      <c r="L521" s="209">
        <v>-58371.48</v>
      </c>
      <c r="M521" s="209">
        <v>12562.52</v>
      </c>
      <c r="N521" s="242">
        <v>8128.52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-257938.39</v>
      </c>
      <c r="H522" s="239"/>
      <c r="I522" s="239"/>
      <c r="J522" s="210">
        <v>-21200</v>
      </c>
      <c r="K522" s="209">
        <v>0</v>
      </c>
      <c r="L522" s="209">
        <v>-279138.39</v>
      </c>
      <c r="M522" s="209">
        <v>166061.60999999999</v>
      </c>
      <c r="N522" s="242">
        <v>144861.60999999999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-55182.96</v>
      </c>
      <c r="H523" s="239"/>
      <c r="I523" s="239"/>
      <c r="J523" s="210">
        <v>-4566</v>
      </c>
      <c r="K523" s="209">
        <v>0</v>
      </c>
      <c r="L523" s="209">
        <v>-59748.959999999999</v>
      </c>
      <c r="M523" s="209">
        <v>13317.04</v>
      </c>
      <c r="N523" s="242">
        <v>8751.0400000000009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-55182.96</v>
      </c>
      <c r="H524" s="239"/>
      <c r="I524" s="239"/>
      <c r="J524" s="210">
        <v>-4566</v>
      </c>
      <c r="K524" s="209">
        <v>0</v>
      </c>
      <c r="L524" s="209">
        <v>-59748.959999999999</v>
      </c>
      <c r="M524" s="209">
        <v>13317.04</v>
      </c>
      <c r="N524" s="242">
        <v>8751.0400000000009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-55182.96</v>
      </c>
      <c r="H525" s="239"/>
      <c r="I525" s="239"/>
      <c r="J525" s="210">
        <v>-4566</v>
      </c>
      <c r="K525" s="209">
        <v>0</v>
      </c>
      <c r="L525" s="209">
        <v>-59748.959999999999</v>
      </c>
      <c r="M525" s="209">
        <v>13317.04</v>
      </c>
      <c r="N525" s="242">
        <v>8751.0400000000009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-55182.96</v>
      </c>
      <c r="H526" s="239"/>
      <c r="I526" s="239"/>
      <c r="J526" s="210">
        <v>-4566</v>
      </c>
      <c r="K526" s="209">
        <v>0</v>
      </c>
      <c r="L526" s="209">
        <v>-59748.959999999999</v>
      </c>
      <c r="M526" s="209">
        <v>13317.04</v>
      </c>
      <c r="N526" s="242">
        <v>8751.0400000000009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-55182.96</v>
      </c>
      <c r="H527" s="239"/>
      <c r="I527" s="239"/>
      <c r="J527" s="210">
        <v>-4566</v>
      </c>
      <c r="K527" s="209">
        <v>0</v>
      </c>
      <c r="L527" s="209">
        <v>-59748.959999999999</v>
      </c>
      <c r="M527" s="209">
        <v>13317.04</v>
      </c>
      <c r="N527" s="242">
        <v>8751.0400000000009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-55182.96</v>
      </c>
      <c r="H528" s="239"/>
      <c r="I528" s="239"/>
      <c r="J528" s="210">
        <v>-4566</v>
      </c>
      <c r="K528" s="209">
        <v>0</v>
      </c>
      <c r="L528" s="209">
        <v>-59748.959999999999</v>
      </c>
      <c r="M528" s="209">
        <v>13317.04</v>
      </c>
      <c r="N528" s="242">
        <v>8751.0400000000009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-55182.96</v>
      </c>
      <c r="H529" s="239"/>
      <c r="I529" s="239"/>
      <c r="J529" s="210">
        <v>-4566</v>
      </c>
      <c r="K529" s="209">
        <v>0</v>
      </c>
      <c r="L529" s="209">
        <v>-59748.959999999999</v>
      </c>
      <c r="M529" s="209">
        <v>13317.04</v>
      </c>
      <c r="N529" s="242">
        <v>8751.0400000000009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-55182.96</v>
      </c>
      <c r="H530" s="239"/>
      <c r="I530" s="239"/>
      <c r="J530" s="210">
        <v>-4566</v>
      </c>
      <c r="K530" s="209">
        <v>0</v>
      </c>
      <c r="L530" s="209">
        <v>-59748.959999999999</v>
      </c>
      <c r="M530" s="209">
        <v>13317.04</v>
      </c>
      <c r="N530" s="242">
        <v>8751.0400000000009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-55182.96</v>
      </c>
      <c r="H531" s="239"/>
      <c r="I531" s="239"/>
      <c r="J531" s="210">
        <v>-4566</v>
      </c>
      <c r="K531" s="209">
        <v>0</v>
      </c>
      <c r="L531" s="209">
        <v>-59748.959999999999</v>
      </c>
      <c r="M531" s="209">
        <v>13317.04</v>
      </c>
      <c r="N531" s="242">
        <v>8751.0400000000009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-55182.96</v>
      </c>
      <c r="H532" s="239"/>
      <c r="I532" s="239"/>
      <c r="J532" s="210">
        <v>-4566</v>
      </c>
      <c r="K532" s="209">
        <v>0</v>
      </c>
      <c r="L532" s="209">
        <v>-59748.959999999999</v>
      </c>
      <c r="M532" s="209">
        <v>13317.04</v>
      </c>
      <c r="N532" s="242">
        <v>8751.0400000000009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-33200</v>
      </c>
      <c r="H534" s="239"/>
      <c r="I534" s="239"/>
      <c r="J534" s="210">
        <v>0</v>
      </c>
      <c r="K534" s="209">
        <v>0</v>
      </c>
      <c r="L534" s="209">
        <v>-33200</v>
      </c>
      <c r="M534" s="209">
        <v>0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-399000</v>
      </c>
      <c r="H535" s="239"/>
      <c r="I535" s="239"/>
      <c r="J535" s="210">
        <v>0</v>
      </c>
      <c r="K535" s="209">
        <v>0</v>
      </c>
      <c r="L535" s="209">
        <v>-399000</v>
      </c>
      <c r="M535" s="209">
        <v>0</v>
      </c>
      <c r="N535" s="242">
        <v>0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-25275</v>
      </c>
      <c r="H536" s="239"/>
      <c r="I536" s="239"/>
      <c r="J536" s="210">
        <v>0</v>
      </c>
      <c r="K536" s="209">
        <v>0</v>
      </c>
      <c r="L536" s="209">
        <v>-25275</v>
      </c>
      <c r="M536" s="209">
        <v>0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-78161</v>
      </c>
      <c r="H537" s="239"/>
      <c r="I537" s="239"/>
      <c r="J537" s="210">
        <v>0</v>
      </c>
      <c r="K537" s="209">
        <v>0</v>
      </c>
      <c r="L537" s="209">
        <v>-78161</v>
      </c>
      <c r="M537" s="209">
        <v>0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-78500</v>
      </c>
      <c r="H538" s="239"/>
      <c r="I538" s="239"/>
      <c r="J538" s="210">
        <v>0</v>
      </c>
      <c r="K538" s="209">
        <v>0</v>
      </c>
      <c r="L538" s="209">
        <v>-78500</v>
      </c>
      <c r="M538" s="209">
        <v>0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-159973.20000000001</v>
      </c>
      <c r="H539" s="239"/>
      <c r="I539" s="239"/>
      <c r="J539" s="210">
        <v>0</v>
      </c>
      <c r="K539" s="209">
        <v>0</v>
      </c>
      <c r="L539" s="209">
        <v>-159973.20000000001</v>
      </c>
      <c r="M539" s="209">
        <v>0</v>
      </c>
      <c r="N539" s="242">
        <v>0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-45500</v>
      </c>
      <c r="H540" s="239"/>
      <c r="I540" s="239"/>
      <c r="J540" s="210">
        <v>0</v>
      </c>
      <c r="K540" s="209">
        <v>0</v>
      </c>
      <c r="L540" s="209">
        <v>-45500</v>
      </c>
      <c r="M540" s="209">
        <v>0</v>
      </c>
      <c r="N540" s="242">
        <v>0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-75200</v>
      </c>
      <c r="H541" s="239"/>
      <c r="I541" s="239"/>
      <c r="J541" s="210">
        <v>0</v>
      </c>
      <c r="K541" s="209">
        <v>0</v>
      </c>
      <c r="L541" s="209">
        <v>-75200</v>
      </c>
      <c r="M541" s="209">
        <v>0</v>
      </c>
      <c r="N541" s="242">
        <v>0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-71100</v>
      </c>
      <c r="H542" s="239"/>
      <c r="I542" s="239"/>
      <c r="J542" s="210">
        <v>0</v>
      </c>
      <c r="K542" s="209">
        <v>0</v>
      </c>
      <c r="L542" s="209">
        <v>-71100</v>
      </c>
      <c r="M542" s="209">
        <v>0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-35550</v>
      </c>
      <c r="H543" s="239"/>
      <c r="I543" s="239"/>
      <c r="J543" s="210">
        <v>0</v>
      </c>
      <c r="K543" s="209">
        <v>0</v>
      </c>
      <c r="L543" s="209">
        <v>-35550</v>
      </c>
      <c r="M543" s="209">
        <v>0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-35550</v>
      </c>
      <c r="H544" s="239"/>
      <c r="I544" s="239"/>
      <c r="J544" s="210">
        <v>0</v>
      </c>
      <c r="K544" s="209">
        <v>0</v>
      </c>
      <c r="L544" s="209">
        <v>-35550</v>
      </c>
      <c r="M544" s="209">
        <v>0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-41400</v>
      </c>
      <c r="H545" s="239"/>
      <c r="I545" s="239"/>
      <c r="J545" s="210">
        <v>0</v>
      </c>
      <c r="K545" s="209">
        <v>0</v>
      </c>
      <c r="L545" s="209">
        <v>-41400</v>
      </c>
      <c r="M545" s="209">
        <v>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-174447</v>
      </c>
      <c r="H546" s="239"/>
      <c r="I546" s="239"/>
      <c r="J546" s="210">
        <v>0</v>
      </c>
      <c r="K546" s="209">
        <v>0</v>
      </c>
      <c r="L546" s="209">
        <v>-174447</v>
      </c>
      <c r="M546" s="209">
        <v>0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-189600</v>
      </c>
      <c r="H586" s="239"/>
      <c r="I586" s="239"/>
      <c r="J586" s="210">
        <v>0</v>
      </c>
      <c r="K586" s="209">
        <v>0</v>
      </c>
      <c r="L586" s="209">
        <v>-189600</v>
      </c>
      <c r="M586" s="209">
        <v>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-542510.68999999994</v>
      </c>
      <c r="H587" s="239"/>
      <c r="I587" s="239"/>
      <c r="J587" s="210">
        <v>0</v>
      </c>
      <c r="K587" s="209">
        <v>0</v>
      </c>
      <c r="L587" s="209">
        <v>-542510.68999999994</v>
      </c>
      <c r="M587" s="209">
        <v>0</v>
      </c>
      <c r="N587" s="242">
        <v>0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-541254.31999999995</v>
      </c>
      <c r="H588" s="239"/>
      <c r="I588" s="239"/>
      <c r="J588" s="210">
        <v>-49206</v>
      </c>
      <c r="K588" s="209">
        <v>0</v>
      </c>
      <c r="L588" s="209">
        <v>-590460.31999999995</v>
      </c>
      <c r="M588" s="209">
        <v>196824.41</v>
      </c>
      <c r="N588" s="242">
        <v>147618.41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-128215</v>
      </c>
      <c r="H589" s="239"/>
      <c r="I589" s="239"/>
      <c r="J589" s="210">
        <v>0</v>
      </c>
      <c r="K589" s="209">
        <v>0</v>
      </c>
      <c r="L589" s="209">
        <v>-128215</v>
      </c>
      <c r="M589" s="209">
        <v>0</v>
      </c>
      <c r="N589" s="242">
        <v>0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-9071.1200000000008</v>
      </c>
      <c r="H590" s="239"/>
      <c r="I590" s="239"/>
      <c r="J590" s="210">
        <v>0</v>
      </c>
      <c r="K590" s="209">
        <v>0</v>
      </c>
      <c r="L590" s="209">
        <v>-9071.1200000000008</v>
      </c>
      <c r="M590" s="209">
        <v>0</v>
      </c>
      <c r="N590" s="242">
        <v>0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-26512.98</v>
      </c>
      <c r="H591" s="239"/>
      <c r="I591" s="239"/>
      <c r="J591" s="210">
        <v>0</v>
      </c>
      <c r="K591" s="209">
        <v>0</v>
      </c>
      <c r="L591" s="209">
        <v>-26512.98</v>
      </c>
      <c r="M591" s="209">
        <v>0</v>
      </c>
      <c r="N591" s="242">
        <v>0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-65900</v>
      </c>
      <c r="H592" s="239"/>
      <c r="I592" s="239"/>
      <c r="J592" s="210">
        <v>0</v>
      </c>
      <c r="K592" s="209">
        <v>0</v>
      </c>
      <c r="L592" s="209">
        <v>-65900</v>
      </c>
      <c r="M592" s="209">
        <v>0</v>
      </c>
      <c r="N592" s="242">
        <v>0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-39502.5</v>
      </c>
      <c r="H593" s="239"/>
      <c r="I593" s="239"/>
      <c r="J593" s="210">
        <v>0</v>
      </c>
      <c r="K593" s="209">
        <v>0</v>
      </c>
      <c r="L593" s="209">
        <v>-39502.5</v>
      </c>
      <c r="M593" s="209">
        <v>0</v>
      </c>
      <c r="N593" s="242">
        <v>0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-277166</v>
      </c>
      <c r="H594" s="239"/>
      <c r="I594" s="239"/>
      <c r="J594" s="210">
        <v>0</v>
      </c>
      <c r="K594" s="209">
        <v>0</v>
      </c>
      <c r="L594" s="209">
        <v>-277166</v>
      </c>
      <c r="M594" s="209">
        <v>0</v>
      </c>
      <c r="N594" s="242">
        <v>0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-82545</v>
      </c>
      <c r="H595" s="239"/>
      <c r="I595" s="239"/>
      <c r="J595" s="210">
        <v>0</v>
      </c>
      <c r="K595" s="209">
        <v>0</v>
      </c>
      <c r="L595" s="209">
        <v>-82545</v>
      </c>
      <c r="M595" s="209">
        <v>0</v>
      </c>
      <c r="N595" s="242">
        <v>0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-587400</v>
      </c>
      <c r="H596" s="239"/>
      <c r="I596" s="239"/>
      <c r="J596" s="210">
        <v>0</v>
      </c>
      <c r="K596" s="209">
        <v>0</v>
      </c>
      <c r="L596" s="209">
        <v>-587400</v>
      </c>
      <c r="M596" s="209">
        <v>0</v>
      </c>
      <c r="N596" s="242">
        <v>0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-205400</v>
      </c>
      <c r="H597" s="239"/>
      <c r="I597" s="239"/>
      <c r="J597" s="210">
        <v>0</v>
      </c>
      <c r="K597" s="209">
        <v>0</v>
      </c>
      <c r="L597" s="209">
        <v>-205400</v>
      </c>
      <c r="M597" s="209">
        <v>0</v>
      </c>
      <c r="N597" s="242">
        <v>0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-111016</v>
      </c>
      <c r="H598" s="239"/>
      <c r="I598" s="239"/>
      <c r="J598" s="210">
        <v>-10745</v>
      </c>
      <c r="K598" s="209">
        <v>0</v>
      </c>
      <c r="L598" s="209">
        <v>-121761</v>
      </c>
      <c r="M598" s="209">
        <v>50141.5</v>
      </c>
      <c r="N598" s="242">
        <v>39396.5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-111016</v>
      </c>
      <c r="H599" s="239"/>
      <c r="I599" s="239"/>
      <c r="J599" s="210">
        <v>-10745</v>
      </c>
      <c r="K599" s="209">
        <v>0</v>
      </c>
      <c r="L599" s="209">
        <v>-121761</v>
      </c>
      <c r="M599" s="209">
        <v>50141.5</v>
      </c>
      <c r="N599" s="242">
        <v>39396.5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-111016</v>
      </c>
      <c r="H600" s="239"/>
      <c r="I600" s="239"/>
      <c r="J600" s="210">
        <v>-10745</v>
      </c>
      <c r="K600" s="209">
        <v>0</v>
      </c>
      <c r="L600" s="209">
        <v>-121761</v>
      </c>
      <c r="M600" s="209">
        <v>50141.5</v>
      </c>
      <c r="N600" s="242">
        <v>39396.5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-111016</v>
      </c>
      <c r="H601" s="239"/>
      <c r="I601" s="239"/>
      <c r="J601" s="210">
        <v>-10745</v>
      </c>
      <c r="K601" s="209">
        <v>0</v>
      </c>
      <c r="L601" s="209">
        <v>-121761</v>
      </c>
      <c r="M601" s="209">
        <v>50141.5</v>
      </c>
      <c r="N601" s="242">
        <v>39396.5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-111016</v>
      </c>
      <c r="H602" s="239"/>
      <c r="I602" s="239"/>
      <c r="J602" s="210">
        <v>-10745</v>
      </c>
      <c r="K602" s="209">
        <v>0</v>
      </c>
      <c r="L602" s="209">
        <v>-121761</v>
      </c>
      <c r="M602" s="209">
        <v>50141.5</v>
      </c>
      <c r="N602" s="242">
        <v>39396.5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-111016</v>
      </c>
      <c r="H603" s="239"/>
      <c r="I603" s="239"/>
      <c r="J603" s="210">
        <v>-10745</v>
      </c>
      <c r="K603" s="209">
        <v>0</v>
      </c>
      <c r="L603" s="209">
        <v>-121761</v>
      </c>
      <c r="M603" s="209">
        <v>50141.5</v>
      </c>
      <c r="N603" s="242">
        <v>39396.5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-111016</v>
      </c>
      <c r="H604" s="239"/>
      <c r="I604" s="239"/>
      <c r="J604" s="210">
        <v>-10745</v>
      </c>
      <c r="K604" s="209">
        <v>0</v>
      </c>
      <c r="L604" s="209">
        <v>-121761</v>
      </c>
      <c r="M604" s="209">
        <v>50141.5</v>
      </c>
      <c r="N604" s="242">
        <v>39396.5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-111016</v>
      </c>
      <c r="H605" s="239"/>
      <c r="I605" s="239"/>
      <c r="J605" s="210">
        <v>-10745</v>
      </c>
      <c r="K605" s="209">
        <v>0</v>
      </c>
      <c r="L605" s="209">
        <v>-121761</v>
      </c>
      <c r="M605" s="209">
        <v>50141.5</v>
      </c>
      <c r="N605" s="242">
        <v>39396.5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-2182638</v>
      </c>
      <c r="H606" s="239"/>
      <c r="I606" s="239"/>
      <c r="J606" s="210">
        <v>-214686</v>
      </c>
      <c r="K606" s="209">
        <v>0</v>
      </c>
      <c r="L606" s="209">
        <v>-2397324</v>
      </c>
      <c r="M606" s="209">
        <v>1037649.21</v>
      </c>
      <c r="N606" s="242">
        <v>822963.21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-40696</v>
      </c>
      <c r="H607" s="239"/>
      <c r="I607" s="239"/>
      <c r="J607" s="210">
        <v>0</v>
      </c>
      <c r="K607" s="209">
        <v>0</v>
      </c>
      <c r="L607" s="209">
        <v>-40696</v>
      </c>
      <c r="M607" s="209">
        <v>0</v>
      </c>
      <c r="N607" s="242">
        <v>0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-177537.63</v>
      </c>
      <c r="H608" s="239"/>
      <c r="I608" s="239"/>
      <c r="J608" s="210">
        <v>0</v>
      </c>
      <c r="K608" s="209">
        <v>0</v>
      </c>
      <c r="L608" s="209">
        <v>-177537.63</v>
      </c>
      <c r="M608" s="209">
        <v>0</v>
      </c>
      <c r="N608" s="242">
        <v>0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-96000</v>
      </c>
      <c r="H609" s="239"/>
      <c r="I609" s="239"/>
      <c r="J609" s="210">
        <v>0</v>
      </c>
      <c r="K609" s="209">
        <v>0</v>
      </c>
      <c r="L609" s="209">
        <v>-96000</v>
      </c>
      <c r="M609" s="209">
        <v>0</v>
      </c>
      <c r="N609" s="242">
        <v>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-274600</v>
      </c>
      <c r="H610" s="239"/>
      <c r="I610" s="239"/>
      <c r="J610" s="210">
        <v>0</v>
      </c>
      <c r="K610" s="209">
        <v>0</v>
      </c>
      <c r="L610" s="209">
        <v>-274600</v>
      </c>
      <c r="M610" s="209">
        <v>0</v>
      </c>
      <c r="N610" s="242">
        <v>0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-545381</v>
      </c>
      <c r="H611" s="239"/>
      <c r="I611" s="239"/>
      <c r="J611" s="210">
        <v>0</v>
      </c>
      <c r="K611" s="209">
        <v>0</v>
      </c>
      <c r="L611" s="209">
        <v>-545381</v>
      </c>
      <c r="M611" s="209">
        <v>0</v>
      </c>
      <c r="N611" s="242">
        <v>0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-320937.43</v>
      </c>
      <c r="H612" s="239"/>
      <c r="I612" s="239"/>
      <c r="J612" s="210">
        <v>0</v>
      </c>
      <c r="K612" s="209">
        <v>0</v>
      </c>
      <c r="L612" s="209">
        <v>-320937.43</v>
      </c>
      <c r="M612" s="209">
        <v>0</v>
      </c>
      <c r="N612" s="242">
        <v>0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-325000</v>
      </c>
      <c r="H613" s="239"/>
      <c r="I613" s="239"/>
      <c r="J613" s="210">
        <v>0</v>
      </c>
      <c r="K613" s="209">
        <v>0</v>
      </c>
      <c r="L613" s="209">
        <v>-325000</v>
      </c>
      <c r="M613" s="209">
        <v>0</v>
      </c>
      <c r="N613" s="242">
        <v>0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-155000</v>
      </c>
      <c r="H614" s="239"/>
      <c r="I614" s="239"/>
      <c r="J614" s="210">
        <v>0</v>
      </c>
      <c r="K614" s="209">
        <v>0</v>
      </c>
      <c r="L614" s="209">
        <v>-155000</v>
      </c>
      <c r="M614" s="209">
        <v>0</v>
      </c>
      <c r="N614" s="242">
        <v>0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-76330.42</v>
      </c>
      <c r="H615" s="239"/>
      <c r="I615" s="239"/>
      <c r="J615" s="210">
        <v>0</v>
      </c>
      <c r="K615" s="209">
        <v>0</v>
      </c>
      <c r="L615" s="209">
        <v>-76330.42</v>
      </c>
      <c r="M615" s="209">
        <v>0</v>
      </c>
      <c r="N615" s="242">
        <v>0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-92500</v>
      </c>
      <c r="H616" s="239"/>
      <c r="I616" s="239"/>
      <c r="J616" s="210">
        <v>0</v>
      </c>
      <c r="K616" s="209">
        <v>0</v>
      </c>
      <c r="L616" s="209">
        <v>-92500</v>
      </c>
      <c r="M616" s="209">
        <v>0</v>
      </c>
      <c r="N616" s="242">
        <v>0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-114872</v>
      </c>
      <c r="H617" s="239"/>
      <c r="I617" s="239"/>
      <c r="J617" s="210">
        <v>-11488</v>
      </c>
      <c r="K617" s="209">
        <v>0</v>
      </c>
      <c r="L617" s="209">
        <v>-126360</v>
      </c>
      <c r="M617" s="209">
        <v>57439.5</v>
      </c>
      <c r="N617" s="242">
        <v>45951.5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-594864</v>
      </c>
      <c r="H618" s="239"/>
      <c r="I618" s="239"/>
      <c r="J618" s="210">
        <v>0</v>
      </c>
      <c r="K618" s="209">
        <v>0</v>
      </c>
      <c r="L618" s="209">
        <v>-594864</v>
      </c>
      <c r="M618" s="209">
        <v>0</v>
      </c>
      <c r="N618" s="242">
        <v>0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-104915</v>
      </c>
      <c r="H619" s="239"/>
      <c r="I619" s="239"/>
      <c r="J619" s="210">
        <v>0</v>
      </c>
      <c r="K619" s="209">
        <v>0</v>
      </c>
      <c r="L619" s="209">
        <v>-104915</v>
      </c>
      <c r="M619" s="209">
        <v>0</v>
      </c>
      <c r="N619" s="242">
        <v>0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-100901</v>
      </c>
      <c r="H620" s="239"/>
      <c r="I620" s="239"/>
      <c r="J620" s="210">
        <v>0</v>
      </c>
      <c r="K620" s="209">
        <v>0</v>
      </c>
      <c r="L620" s="209">
        <v>-100901</v>
      </c>
      <c r="M620" s="209">
        <v>0</v>
      </c>
      <c r="N620" s="242">
        <v>0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-350400</v>
      </c>
      <c r="H621" s="239"/>
      <c r="I621" s="239"/>
      <c r="J621" s="210">
        <v>-35040</v>
      </c>
      <c r="K621" s="209">
        <v>0</v>
      </c>
      <c r="L621" s="209">
        <v>-385440</v>
      </c>
      <c r="M621" s="209">
        <v>175200</v>
      </c>
      <c r="N621" s="242">
        <v>140160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-2712665</v>
      </c>
      <c r="H622" s="239"/>
      <c r="I622" s="239"/>
      <c r="J622" s="210">
        <v>-0.38</v>
      </c>
      <c r="K622" s="209">
        <v>0</v>
      </c>
      <c r="L622" s="209">
        <v>-2712665.38</v>
      </c>
      <c r="M622" s="209">
        <v>0.38</v>
      </c>
      <c r="N622" s="242">
        <v>0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-198570</v>
      </c>
      <c r="H623" s="239"/>
      <c r="I623" s="239"/>
      <c r="J623" s="210">
        <v>-5091.55</v>
      </c>
      <c r="K623" s="209">
        <v>0</v>
      </c>
      <c r="L623" s="209">
        <v>-203661.55</v>
      </c>
      <c r="M623" s="209">
        <v>5091.55</v>
      </c>
      <c r="N623" s="242">
        <v>0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-649264</v>
      </c>
      <c r="H624" s="239"/>
      <c r="I624" s="239"/>
      <c r="J624" s="210">
        <v>-66591</v>
      </c>
      <c r="K624" s="209">
        <v>0</v>
      </c>
      <c r="L624" s="209">
        <v>-715855</v>
      </c>
      <c r="M624" s="209">
        <v>349606.5</v>
      </c>
      <c r="N624" s="242">
        <v>283015.5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-91090</v>
      </c>
      <c r="H625" s="239"/>
      <c r="I625" s="239"/>
      <c r="J625" s="210">
        <v>0</v>
      </c>
      <c r="K625" s="209">
        <v>0</v>
      </c>
      <c r="L625" s="209">
        <v>-91090</v>
      </c>
      <c r="M625" s="209">
        <v>0</v>
      </c>
      <c r="N625" s="242">
        <v>0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-315000</v>
      </c>
      <c r="H626" s="239"/>
      <c r="I626" s="239"/>
      <c r="J626" s="210">
        <v>0</v>
      </c>
      <c r="K626" s="209">
        <v>0</v>
      </c>
      <c r="L626" s="209">
        <v>-315000</v>
      </c>
      <c r="M626" s="209">
        <v>0</v>
      </c>
      <c r="N626" s="242">
        <v>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-408018</v>
      </c>
      <c r="H627" s="239"/>
      <c r="I627" s="239"/>
      <c r="J627" s="210">
        <v>-44511</v>
      </c>
      <c r="K627" s="209">
        <v>0</v>
      </c>
      <c r="L627" s="209">
        <v>-452529</v>
      </c>
      <c r="M627" s="209">
        <v>259650</v>
      </c>
      <c r="N627" s="242">
        <v>215139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-495882</v>
      </c>
      <c r="H628" s="239"/>
      <c r="I628" s="239"/>
      <c r="J628" s="210">
        <v>-54096</v>
      </c>
      <c r="K628" s="209">
        <v>0</v>
      </c>
      <c r="L628" s="209">
        <v>-549978</v>
      </c>
      <c r="M628" s="209">
        <v>315560.7</v>
      </c>
      <c r="N628" s="242">
        <v>261464.7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-40884</v>
      </c>
      <c r="H629" s="239"/>
      <c r="I629" s="239"/>
      <c r="J629" s="210">
        <v>0</v>
      </c>
      <c r="K629" s="209">
        <v>0</v>
      </c>
      <c r="L629" s="209">
        <v>-40884</v>
      </c>
      <c r="M629" s="209">
        <v>0</v>
      </c>
      <c r="N629" s="242">
        <v>0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-33480</v>
      </c>
      <c r="H630" s="239"/>
      <c r="I630" s="239"/>
      <c r="J630" s="210">
        <v>0</v>
      </c>
      <c r="K630" s="209">
        <v>0</v>
      </c>
      <c r="L630" s="209">
        <v>-33480</v>
      </c>
      <c r="M630" s="209">
        <v>0</v>
      </c>
      <c r="N630" s="242">
        <v>0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-58648.75</v>
      </c>
      <c r="H631" s="239"/>
      <c r="I631" s="239"/>
      <c r="J631" s="210">
        <v>0</v>
      </c>
      <c r="K631" s="209">
        <v>0</v>
      </c>
      <c r="L631" s="209">
        <v>-58648.75</v>
      </c>
      <c r="M631" s="209">
        <v>0</v>
      </c>
      <c r="N631" s="242">
        <v>0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-201547</v>
      </c>
      <c r="H632" s="239"/>
      <c r="I632" s="239"/>
      <c r="J632" s="210">
        <v>-22188</v>
      </c>
      <c r="K632" s="209">
        <v>0</v>
      </c>
      <c r="L632" s="209">
        <v>-223735</v>
      </c>
      <c r="M632" s="209">
        <v>131282.6</v>
      </c>
      <c r="N632" s="242">
        <v>109094.6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-1273078</v>
      </c>
      <c r="H633" s="239"/>
      <c r="I633" s="239"/>
      <c r="J633" s="210">
        <v>-140155</v>
      </c>
      <c r="K633" s="209">
        <v>0</v>
      </c>
      <c r="L633" s="209">
        <v>-1413233</v>
      </c>
      <c r="M633" s="209">
        <v>829249</v>
      </c>
      <c r="N633" s="242">
        <v>689094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-494703</v>
      </c>
      <c r="H634" s="239"/>
      <c r="I634" s="239"/>
      <c r="J634" s="210">
        <v>-54462</v>
      </c>
      <c r="K634" s="209">
        <v>0</v>
      </c>
      <c r="L634" s="209">
        <v>-549165</v>
      </c>
      <c r="M634" s="209">
        <v>322234</v>
      </c>
      <c r="N634" s="242">
        <v>267772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-308595</v>
      </c>
      <c r="H635" s="239"/>
      <c r="I635" s="239"/>
      <c r="J635" s="210">
        <v>-33974</v>
      </c>
      <c r="K635" s="209">
        <v>0</v>
      </c>
      <c r="L635" s="209">
        <v>-342569</v>
      </c>
      <c r="M635" s="209">
        <v>201013</v>
      </c>
      <c r="N635" s="242">
        <v>167039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-253738</v>
      </c>
      <c r="H636" s="239"/>
      <c r="I636" s="239"/>
      <c r="J636" s="210">
        <v>-27934</v>
      </c>
      <c r="K636" s="209">
        <v>0</v>
      </c>
      <c r="L636" s="209">
        <v>-281672</v>
      </c>
      <c r="M636" s="209">
        <v>165277.67000000001</v>
      </c>
      <c r="N636" s="242">
        <v>137343.67000000001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-136624.75</v>
      </c>
      <c r="H637" s="239"/>
      <c r="I637" s="239"/>
      <c r="J637" s="210">
        <v>0</v>
      </c>
      <c r="K637" s="209">
        <v>0</v>
      </c>
      <c r="L637" s="209">
        <v>-136624.75</v>
      </c>
      <c r="M637" s="209">
        <v>0</v>
      </c>
      <c r="N637" s="242">
        <v>0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-291513</v>
      </c>
      <c r="H638" s="239"/>
      <c r="I638" s="239"/>
      <c r="J638" s="210">
        <v>-32391</v>
      </c>
      <c r="K638" s="209">
        <v>0</v>
      </c>
      <c r="L638" s="209">
        <v>-323904</v>
      </c>
      <c r="M638" s="209">
        <v>32391</v>
      </c>
      <c r="N638" s="242">
        <v>0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-1182000</v>
      </c>
      <c r="H639" s="239"/>
      <c r="I639" s="239"/>
      <c r="J639" s="210">
        <v>-131334</v>
      </c>
      <c r="K639" s="209">
        <v>0</v>
      </c>
      <c r="L639" s="209">
        <v>-1313334</v>
      </c>
      <c r="M639" s="209">
        <v>131334.25</v>
      </c>
      <c r="N639" s="242">
        <v>0.25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-77414.429999999993</v>
      </c>
      <c r="H640" s="239"/>
      <c r="I640" s="239"/>
      <c r="J640" s="210">
        <v>0</v>
      </c>
      <c r="K640" s="209">
        <v>0</v>
      </c>
      <c r="L640" s="209">
        <v>-77414.429999999993</v>
      </c>
      <c r="M640" s="209">
        <v>0</v>
      </c>
      <c r="N640" s="242">
        <v>0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-250033</v>
      </c>
      <c r="H641" s="239"/>
      <c r="I641" s="239"/>
      <c r="J641" s="210">
        <v>-27781.5</v>
      </c>
      <c r="K641" s="209">
        <v>0</v>
      </c>
      <c r="L641" s="209">
        <v>-277814.5</v>
      </c>
      <c r="M641" s="209">
        <v>27781.5</v>
      </c>
      <c r="N641" s="242">
        <v>0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-69778</v>
      </c>
      <c r="H642" s="239"/>
      <c r="I642" s="239"/>
      <c r="J642" s="210">
        <v>-7753</v>
      </c>
      <c r="K642" s="209">
        <v>0</v>
      </c>
      <c r="L642" s="209">
        <v>-77531</v>
      </c>
      <c r="M642" s="209">
        <v>7753.18</v>
      </c>
      <c r="N642" s="242">
        <v>0.18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-34545</v>
      </c>
      <c r="H643" s="239"/>
      <c r="I643" s="239"/>
      <c r="J643" s="210">
        <v>-3838</v>
      </c>
      <c r="K643" s="209">
        <v>0</v>
      </c>
      <c r="L643" s="209">
        <v>-38383</v>
      </c>
      <c r="M643" s="209">
        <v>3838.25</v>
      </c>
      <c r="N643" s="242">
        <v>0.25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-150305.79999999999</v>
      </c>
      <c r="H644" s="239"/>
      <c r="I644" s="239"/>
      <c r="J644" s="210">
        <v>0</v>
      </c>
      <c r="K644" s="209">
        <v>0</v>
      </c>
      <c r="L644" s="209">
        <v>-150305.79999999999</v>
      </c>
      <c r="M644" s="209">
        <v>0</v>
      </c>
      <c r="N644" s="242">
        <v>0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-199000</v>
      </c>
      <c r="H645" s="239"/>
      <c r="I645" s="239"/>
      <c r="J645" s="210">
        <v>0</v>
      </c>
      <c r="K645" s="209">
        <v>0</v>
      </c>
      <c r="L645" s="209">
        <v>-199000</v>
      </c>
      <c r="M645" s="209">
        <v>0</v>
      </c>
      <c r="N645" s="242">
        <v>0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-103715.62</v>
      </c>
      <c r="H646" s="239"/>
      <c r="I646" s="239"/>
      <c r="J646" s="210">
        <v>0</v>
      </c>
      <c r="K646" s="209">
        <v>0</v>
      </c>
      <c r="L646" s="209">
        <v>-103715.62</v>
      </c>
      <c r="M646" s="209">
        <v>0</v>
      </c>
      <c r="N646" s="242">
        <v>0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-410221</v>
      </c>
      <c r="H647" s="239"/>
      <c r="I647" s="239"/>
      <c r="J647" s="210">
        <v>-46882</v>
      </c>
      <c r="K647" s="209">
        <v>0</v>
      </c>
      <c r="L647" s="209">
        <v>-457103</v>
      </c>
      <c r="M647" s="209">
        <v>58603</v>
      </c>
      <c r="N647" s="242">
        <v>11721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-31238</v>
      </c>
      <c r="H648" s="239"/>
      <c r="I648" s="239"/>
      <c r="J648" s="210">
        <v>-3570</v>
      </c>
      <c r="K648" s="209">
        <v>0</v>
      </c>
      <c r="L648" s="209">
        <v>-34808</v>
      </c>
      <c r="M648" s="209">
        <v>4462</v>
      </c>
      <c r="N648" s="242">
        <v>892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-138600</v>
      </c>
      <c r="H649" s="239"/>
      <c r="I649" s="239"/>
      <c r="J649" s="210">
        <v>-15840</v>
      </c>
      <c r="K649" s="209">
        <v>0</v>
      </c>
      <c r="L649" s="209">
        <v>-154440</v>
      </c>
      <c r="M649" s="209">
        <v>19800</v>
      </c>
      <c r="N649" s="242">
        <v>3960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-87499</v>
      </c>
      <c r="H650" s="239"/>
      <c r="I650" s="239"/>
      <c r="J650" s="210">
        <v>-10000</v>
      </c>
      <c r="K650" s="209">
        <v>0</v>
      </c>
      <c r="L650" s="209">
        <v>-97499</v>
      </c>
      <c r="M650" s="209">
        <v>62501</v>
      </c>
      <c r="N650" s="242">
        <v>52501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-523904</v>
      </c>
      <c r="H651" s="239"/>
      <c r="I651" s="239"/>
      <c r="J651" s="210">
        <v>-59874</v>
      </c>
      <c r="K651" s="209">
        <v>0</v>
      </c>
      <c r="L651" s="209">
        <v>-583778</v>
      </c>
      <c r="M651" s="209">
        <v>74842.98</v>
      </c>
      <c r="N651" s="242">
        <v>14968.98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-367332</v>
      </c>
      <c r="H652" s="239"/>
      <c r="I652" s="239"/>
      <c r="J652" s="210">
        <v>-42796</v>
      </c>
      <c r="K652" s="209">
        <v>0</v>
      </c>
      <c r="L652" s="209">
        <v>-410128</v>
      </c>
      <c r="M652" s="209">
        <v>60628</v>
      </c>
      <c r="N652" s="242">
        <v>17832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-479614.85</v>
      </c>
      <c r="H653" s="239"/>
      <c r="I653" s="239"/>
      <c r="J653" s="210">
        <v>0</v>
      </c>
      <c r="K653" s="209">
        <v>0</v>
      </c>
      <c r="L653" s="209">
        <v>-479614.85</v>
      </c>
      <c r="M653" s="209">
        <v>0</v>
      </c>
      <c r="N653" s="242">
        <v>0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-237999</v>
      </c>
      <c r="H654" s="239"/>
      <c r="I654" s="239"/>
      <c r="J654" s="210">
        <v>-28000</v>
      </c>
      <c r="K654" s="209">
        <v>0</v>
      </c>
      <c r="L654" s="209">
        <v>-265999</v>
      </c>
      <c r="M654" s="209">
        <v>182001</v>
      </c>
      <c r="N654" s="242">
        <v>154001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-455449</v>
      </c>
      <c r="H655" s="239"/>
      <c r="I655" s="239"/>
      <c r="J655" s="210">
        <v>0</v>
      </c>
      <c r="K655" s="209">
        <v>0</v>
      </c>
      <c r="L655" s="209">
        <v>-455449</v>
      </c>
      <c r="M655" s="209">
        <v>0</v>
      </c>
      <c r="N655" s="242">
        <v>0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-185885</v>
      </c>
      <c r="H656" s="239"/>
      <c r="I656" s="239"/>
      <c r="J656" s="210">
        <v>0</v>
      </c>
      <c r="K656" s="209">
        <v>0</v>
      </c>
      <c r="L656" s="209">
        <v>-185885</v>
      </c>
      <c r="M656" s="209">
        <v>0</v>
      </c>
      <c r="N656" s="242">
        <v>0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-557079</v>
      </c>
      <c r="H657" s="239"/>
      <c r="I657" s="239"/>
      <c r="J657" s="210">
        <v>-67525</v>
      </c>
      <c r="K657" s="209">
        <v>0</v>
      </c>
      <c r="L657" s="209">
        <v>-624604</v>
      </c>
      <c r="M657" s="209">
        <v>118168.9</v>
      </c>
      <c r="N657" s="242">
        <v>50643.9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-85400</v>
      </c>
      <c r="H658" s="239"/>
      <c r="I658" s="239"/>
      <c r="J658" s="210">
        <v>0</v>
      </c>
      <c r="K658" s="209">
        <v>0</v>
      </c>
      <c r="L658" s="209">
        <v>-85400</v>
      </c>
      <c r="M658" s="209">
        <v>0</v>
      </c>
      <c r="N658" s="242">
        <v>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-111218.45</v>
      </c>
      <c r="H659" s="239"/>
      <c r="I659" s="239"/>
      <c r="J659" s="210">
        <v>0</v>
      </c>
      <c r="K659" s="209">
        <v>0</v>
      </c>
      <c r="L659" s="209">
        <v>-111218.45</v>
      </c>
      <c r="M659" s="209">
        <v>0</v>
      </c>
      <c r="N659" s="242">
        <v>0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-253047</v>
      </c>
      <c r="H660" s="239"/>
      <c r="I660" s="239"/>
      <c r="J660" s="210">
        <v>-30985</v>
      </c>
      <c r="K660" s="209">
        <v>0</v>
      </c>
      <c r="L660" s="209">
        <v>-284032</v>
      </c>
      <c r="M660" s="209">
        <v>56806.21</v>
      </c>
      <c r="N660" s="242">
        <v>25821.21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-206907</v>
      </c>
      <c r="H661" s="239"/>
      <c r="I661" s="239"/>
      <c r="J661" s="210">
        <v>-25336</v>
      </c>
      <c r="K661" s="209">
        <v>0</v>
      </c>
      <c r="L661" s="209">
        <v>-232243</v>
      </c>
      <c r="M661" s="209">
        <v>46448.85</v>
      </c>
      <c r="N661" s="242">
        <v>21112.85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-4003723.5</v>
      </c>
      <c r="H743" s="239"/>
      <c r="I743" s="239"/>
      <c r="J743" s="210">
        <v>0</v>
      </c>
      <c r="K743" s="209">
        <v>0</v>
      </c>
      <c r="L743" s="209">
        <v>-4003723.5</v>
      </c>
      <c r="M743" s="209">
        <v>0</v>
      </c>
      <c r="N743" s="242">
        <v>0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-1850609.24</v>
      </c>
      <c r="H769" s="239"/>
      <c r="I769" s="239"/>
      <c r="J769" s="210">
        <v>0</v>
      </c>
      <c r="K769" s="209">
        <v>0</v>
      </c>
      <c r="L769" s="209">
        <v>-1850609.24</v>
      </c>
      <c r="M769" s="209">
        <v>0</v>
      </c>
      <c r="N769" s="242">
        <v>0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-3009170</v>
      </c>
      <c r="H798" s="239"/>
      <c r="I798" s="239"/>
      <c r="J798" s="210">
        <v>0</v>
      </c>
      <c r="K798" s="209">
        <v>0</v>
      </c>
      <c r="L798" s="209">
        <v>-3009170</v>
      </c>
      <c r="M798" s="209">
        <v>0</v>
      </c>
      <c r="N798" s="242">
        <v>0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-836800</v>
      </c>
      <c r="H843" s="239"/>
      <c r="I843" s="239"/>
      <c r="J843" s="210">
        <v>0</v>
      </c>
      <c r="K843" s="209">
        <v>0</v>
      </c>
      <c r="L843" s="209">
        <v>-836800</v>
      </c>
      <c r="M843" s="209">
        <v>0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-51264</v>
      </c>
      <c r="H846" s="239"/>
      <c r="I846" s="239"/>
      <c r="J846" s="210">
        <v>0</v>
      </c>
      <c r="K846" s="209">
        <v>0</v>
      </c>
      <c r="L846" s="209">
        <v>-51264</v>
      </c>
      <c r="M846" s="209">
        <v>0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-432660</v>
      </c>
      <c r="H850" s="239"/>
      <c r="I850" s="239"/>
      <c r="J850" s="210">
        <v>0</v>
      </c>
      <c r="K850" s="209">
        <v>0</v>
      </c>
      <c r="L850" s="209">
        <v>-432660</v>
      </c>
      <c r="M850" s="209">
        <v>0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-8114080</v>
      </c>
      <c r="H860" s="239"/>
      <c r="I860" s="239"/>
      <c r="J860" s="210">
        <v>0</v>
      </c>
      <c r="K860" s="209">
        <v>0</v>
      </c>
      <c r="L860" s="209">
        <v>-8114080</v>
      </c>
      <c r="M860" s="209">
        <v>0</v>
      </c>
      <c r="N860" s="242">
        <v>0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-948740.88</v>
      </c>
      <c r="H861" s="239"/>
      <c r="I861" s="239"/>
      <c r="J861" s="210">
        <v>0</v>
      </c>
      <c r="K861" s="209">
        <v>0</v>
      </c>
      <c r="L861" s="209">
        <v>-948740.88</v>
      </c>
      <c r="M861" s="209">
        <v>0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-125536121.51000001</v>
      </c>
      <c r="H862" s="244"/>
      <c r="I862" s="244"/>
      <c r="J862" s="208">
        <v>-1995074.21</v>
      </c>
      <c r="K862" s="207">
        <v>0</v>
      </c>
      <c r="L862" s="207">
        <v>-127531195.72</v>
      </c>
      <c r="M862" s="207">
        <v>8432953.4199999999</v>
      </c>
      <c r="N862" s="245">
        <v>6437879.21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-273565317.31999999</v>
      </c>
      <c r="H871" s="239"/>
      <c r="I871" s="239"/>
      <c r="J871" s="202">
        <v>-2824205.21</v>
      </c>
      <c r="K871" s="201">
        <v>0</v>
      </c>
      <c r="L871" s="201">
        <v>-276389522.52999997</v>
      </c>
      <c r="M871" s="201">
        <v>12260408.91</v>
      </c>
      <c r="N871" s="253">
        <v>9436203.6999999993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6429-DFBE-4027-A842-1E1E65959F82}">
  <dimension ref="A1:O872"/>
  <sheetViews>
    <sheetView showGridLines="0" workbookViewId="0">
      <pane ySplit="15" topLeftCell="A851" activePane="bottomLeft" state="frozen"/>
      <selection pane="bottomLeft" activeCell="J4" sqref="J1:J1048576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1836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1833</v>
      </c>
      <c r="D14" s="212" t="s">
        <v>162</v>
      </c>
      <c r="E14" s="212" t="s">
        <v>163</v>
      </c>
      <c r="F14" s="212" t="s">
        <v>1837</v>
      </c>
      <c r="G14" s="251" t="s">
        <v>1834</v>
      </c>
      <c r="H14" s="239"/>
      <c r="I14" s="239"/>
      <c r="J14" s="213" t="s">
        <v>166</v>
      </c>
      <c r="K14" s="212" t="s">
        <v>167</v>
      </c>
      <c r="L14" s="212" t="s">
        <v>1838</v>
      </c>
      <c r="M14" s="212" t="s">
        <v>1835</v>
      </c>
      <c r="N14" s="251" t="s">
        <v>1839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-2232750.11</v>
      </c>
      <c r="H18" s="239"/>
      <c r="I18" s="239"/>
      <c r="J18" s="210">
        <v>-57249.89</v>
      </c>
      <c r="K18" s="209">
        <v>0</v>
      </c>
      <c r="L18" s="209">
        <v>-2290000</v>
      </c>
      <c r="M18" s="209">
        <v>57249.89</v>
      </c>
      <c r="N18" s="242">
        <v>0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-929000</v>
      </c>
      <c r="H19" s="239"/>
      <c r="I19" s="239"/>
      <c r="J19" s="210">
        <v>0</v>
      </c>
      <c r="K19" s="209">
        <v>0</v>
      </c>
      <c r="L19" s="209">
        <v>-929000</v>
      </c>
      <c r="M19" s="209">
        <v>0</v>
      </c>
      <c r="N19" s="242">
        <v>0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-230000</v>
      </c>
      <c r="H20" s="239"/>
      <c r="I20" s="239"/>
      <c r="J20" s="210">
        <v>0</v>
      </c>
      <c r="K20" s="209">
        <v>0</v>
      </c>
      <c r="L20" s="209">
        <v>-230000</v>
      </c>
      <c r="M20" s="209">
        <v>0</v>
      </c>
      <c r="N20" s="242">
        <v>0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-969000</v>
      </c>
      <c r="H21" s="239"/>
      <c r="I21" s="239"/>
      <c r="J21" s="210">
        <v>0</v>
      </c>
      <c r="K21" s="209">
        <v>0</v>
      </c>
      <c r="L21" s="209">
        <v>-969000</v>
      </c>
      <c r="M21" s="209">
        <v>0</v>
      </c>
      <c r="N21" s="242">
        <v>0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-4360750.1100000003</v>
      </c>
      <c r="H22" s="244"/>
      <c r="I22" s="244"/>
      <c r="J22" s="208">
        <v>-57249.89</v>
      </c>
      <c r="K22" s="207">
        <v>0</v>
      </c>
      <c r="L22" s="207">
        <v>-4418000</v>
      </c>
      <c r="M22" s="207">
        <v>57249.89</v>
      </c>
      <c r="N22" s="245">
        <v>0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-6608400</v>
      </c>
      <c r="H36" s="239"/>
      <c r="I36" s="239"/>
      <c r="J36" s="210">
        <v>0</v>
      </c>
      <c r="K36" s="209">
        <v>0</v>
      </c>
      <c r="L36" s="209">
        <v>-6608400</v>
      </c>
      <c r="M36" s="209">
        <v>0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-7138338</v>
      </c>
      <c r="H37" s="239"/>
      <c r="I37" s="239"/>
      <c r="J37" s="210">
        <v>0</v>
      </c>
      <c r="K37" s="209">
        <v>0</v>
      </c>
      <c r="L37" s="209">
        <v>-7138338</v>
      </c>
      <c r="M37" s="209">
        <v>0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-1728820</v>
      </c>
      <c r="H38" s="239"/>
      <c r="I38" s="239"/>
      <c r="J38" s="210">
        <v>0</v>
      </c>
      <c r="K38" s="209">
        <v>0</v>
      </c>
      <c r="L38" s="209">
        <v>-1728820</v>
      </c>
      <c r="M38" s="209">
        <v>0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-1728820</v>
      </c>
      <c r="H39" s="239"/>
      <c r="I39" s="239"/>
      <c r="J39" s="210">
        <v>0</v>
      </c>
      <c r="K39" s="209">
        <v>0</v>
      </c>
      <c r="L39" s="209">
        <v>-1728820</v>
      </c>
      <c r="M39" s="209">
        <v>0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-1728820</v>
      </c>
      <c r="H40" s="239"/>
      <c r="I40" s="239"/>
      <c r="J40" s="210">
        <v>0</v>
      </c>
      <c r="K40" s="209">
        <v>0</v>
      </c>
      <c r="L40" s="209">
        <v>-1728820</v>
      </c>
      <c r="M40" s="209">
        <v>0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-985782.31</v>
      </c>
      <c r="H42" s="239"/>
      <c r="I42" s="239"/>
      <c r="J42" s="210">
        <v>0</v>
      </c>
      <c r="K42" s="209">
        <v>0</v>
      </c>
      <c r="L42" s="209">
        <v>-985782.31</v>
      </c>
      <c r="M42" s="209">
        <v>0</v>
      </c>
      <c r="N42" s="242">
        <v>0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-1567000</v>
      </c>
      <c r="H44" s="239"/>
      <c r="I44" s="239"/>
      <c r="J44" s="210">
        <v>0</v>
      </c>
      <c r="K44" s="209">
        <v>0</v>
      </c>
      <c r="L44" s="209">
        <v>-1567000</v>
      </c>
      <c r="M44" s="209">
        <v>0</v>
      </c>
      <c r="N44" s="242">
        <v>0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-1264347.94</v>
      </c>
      <c r="H45" s="239"/>
      <c r="I45" s="239"/>
      <c r="J45" s="210">
        <v>0</v>
      </c>
      <c r="K45" s="209">
        <v>0</v>
      </c>
      <c r="L45" s="209">
        <v>-1264347.94</v>
      </c>
      <c r="M45" s="209">
        <v>0</v>
      </c>
      <c r="N45" s="242">
        <v>0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-1567000</v>
      </c>
      <c r="H47" s="239"/>
      <c r="I47" s="239"/>
      <c r="J47" s="210">
        <v>0</v>
      </c>
      <c r="K47" s="209">
        <v>0</v>
      </c>
      <c r="L47" s="209">
        <v>-1567000</v>
      </c>
      <c r="M47" s="209">
        <v>0</v>
      </c>
      <c r="N47" s="242">
        <v>0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-750224</v>
      </c>
      <c r="H48" s="239"/>
      <c r="I48" s="239"/>
      <c r="J48" s="210">
        <v>0</v>
      </c>
      <c r="K48" s="209">
        <v>0</v>
      </c>
      <c r="L48" s="209">
        <v>-750224</v>
      </c>
      <c r="M48" s="209">
        <v>0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-654354</v>
      </c>
      <c r="H49" s="239"/>
      <c r="I49" s="239"/>
      <c r="J49" s="210">
        <v>0</v>
      </c>
      <c r="K49" s="209">
        <v>0</v>
      </c>
      <c r="L49" s="209">
        <v>-654354</v>
      </c>
      <c r="M49" s="209">
        <v>0</v>
      </c>
      <c r="N49" s="242">
        <v>0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-654354</v>
      </c>
      <c r="H51" s="239"/>
      <c r="I51" s="239"/>
      <c r="J51" s="210">
        <v>0</v>
      </c>
      <c r="K51" s="209">
        <v>0</v>
      </c>
      <c r="L51" s="209">
        <v>-654354</v>
      </c>
      <c r="M51" s="209">
        <v>0</v>
      </c>
      <c r="N51" s="242">
        <v>0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-654354</v>
      </c>
      <c r="H52" s="239"/>
      <c r="I52" s="239"/>
      <c r="J52" s="210">
        <v>0</v>
      </c>
      <c r="K52" s="209">
        <v>0</v>
      </c>
      <c r="L52" s="209">
        <v>-654354</v>
      </c>
      <c r="M52" s="209">
        <v>0</v>
      </c>
      <c r="N52" s="242">
        <v>0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-654354</v>
      </c>
      <c r="H53" s="239"/>
      <c r="I53" s="239"/>
      <c r="J53" s="210">
        <v>0</v>
      </c>
      <c r="K53" s="209">
        <v>0</v>
      </c>
      <c r="L53" s="209">
        <v>-654354</v>
      </c>
      <c r="M53" s="209">
        <v>0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-654354</v>
      </c>
      <c r="H54" s="239"/>
      <c r="I54" s="239"/>
      <c r="J54" s="210">
        <v>0</v>
      </c>
      <c r="K54" s="209">
        <v>0</v>
      </c>
      <c r="L54" s="209">
        <v>-654354</v>
      </c>
      <c r="M54" s="209">
        <v>0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-654354</v>
      </c>
      <c r="H59" s="239"/>
      <c r="I59" s="239"/>
      <c r="J59" s="210">
        <v>0</v>
      </c>
      <c r="K59" s="209">
        <v>0</v>
      </c>
      <c r="L59" s="209">
        <v>-654354</v>
      </c>
      <c r="M59" s="209">
        <v>0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-654354</v>
      </c>
      <c r="H62" s="239"/>
      <c r="I62" s="239"/>
      <c r="J62" s="210">
        <v>0</v>
      </c>
      <c r="K62" s="209">
        <v>0</v>
      </c>
      <c r="L62" s="209">
        <v>-654354</v>
      </c>
      <c r="M62" s="209">
        <v>0</v>
      </c>
      <c r="N62" s="242">
        <v>0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-654354</v>
      </c>
      <c r="H63" s="239"/>
      <c r="I63" s="239"/>
      <c r="J63" s="210">
        <v>0</v>
      </c>
      <c r="K63" s="209">
        <v>0</v>
      </c>
      <c r="L63" s="209">
        <v>-654354</v>
      </c>
      <c r="M63" s="209">
        <v>0</v>
      </c>
      <c r="N63" s="242">
        <v>0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-654354</v>
      </c>
      <c r="H64" s="239"/>
      <c r="I64" s="239"/>
      <c r="J64" s="210">
        <v>0</v>
      </c>
      <c r="K64" s="209">
        <v>0</v>
      </c>
      <c r="L64" s="209">
        <v>-654354</v>
      </c>
      <c r="M64" s="209">
        <v>0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-654354</v>
      </c>
      <c r="H65" s="239"/>
      <c r="I65" s="239"/>
      <c r="J65" s="210">
        <v>0</v>
      </c>
      <c r="K65" s="209">
        <v>0</v>
      </c>
      <c r="L65" s="209">
        <v>-654354</v>
      </c>
      <c r="M65" s="209">
        <v>0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-654354</v>
      </c>
      <c r="H66" s="239"/>
      <c r="I66" s="239"/>
      <c r="J66" s="210">
        <v>0</v>
      </c>
      <c r="K66" s="209">
        <v>0</v>
      </c>
      <c r="L66" s="209">
        <v>-654354</v>
      </c>
      <c r="M66" s="209">
        <v>0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-654353</v>
      </c>
      <c r="H68" s="239"/>
      <c r="I68" s="239"/>
      <c r="J68" s="210">
        <v>0</v>
      </c>
      <c r="K68" s="209">
        <v>0</v>
      </c>
      <c r="L68" s="209">
        <v>-654353</v>
      </c>
      <c r="M68" s="209">
        <v>0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-654353</v>
      </c>
      <c r="H73" s="239"/>
      <c r="I73" s="239"/>
      <c r="J73" s="210">
        <v>0</v>
      </c>
      <c r="K73" s="209">
        <v>0</v>
      </c>
      <c r="L73" s="209">
        <v>-654353</v>
      </c>
      <c r="M73" s="209">
        <v>0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-654353</v>
      </c>
      <c r="H75" s="239"/>
      <c r="I75" s="239"/>
      <c r="J75" s="210">
        <v>0</v>
      </c>
      <c r="K75" s="209">
        <v>0</v>
      </c>
      <c r="L75" s="209">
        <v>-654353</v>
      </c>
      <c r="M75" s="209">
        <v>0</v>
      </c>
      <c r="N75" s="242">
        <v>0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-654353</v>
      </c>
      <c r="H76" s="239"/>
      <c r="I76" s="239"/>
      <c r="J76" s="210">
        <v>0</v>
      </c>
      <c r="K76" s="209">
        <v>0</v>
      </c>
      <c r="L76" s="209">
        <v>-654353</v>
      </c>
      <c r="M76" s="209">
        <v>0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-654353</v>
      </c>
      <c r="H78" s="239"/>
      <c r="I78" s="239"/>
      <c r="J78" s="210">
        <v>0</v>
      </c>
      <c r="K78" s="209">
        <v>0</v>
      </c>
      <c r="L78" s="209">
        <v>-654353</v>
      </c>
      <c r="M78" s="209">
        <v>0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-654353</v>
      </c>
      <c r="H79" s="239"/>
      <c r="I79" s="239"/>
      <c r="J79" s="210">
        <v>0</v>
      </c>
      <c r="K79" s="209">
        <v>0</v>
      </c>
      <c r="L79" s="209">
        <v>-654353</v>
      </c>
      <c r="M79" s="209">
        <v>0</v>
      </c>
      <c r="N79" s="242">
        <v>0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-654353</v>
      </c>
      <c r="H80" s="239"/>
      <c r="I80" s="239"/>
      <c r="J80" s="210">
        <v>0</v>
      </c>
      <c r="K80" s="209">
        <v>0</v>
      </c>
      <c r="L80" s="209">
        <v>-654353</v>
      </c>
      <c r="M80" s="209">
        <v>0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-654353</v>
      </c>
      <c r="H82" s="239"/>
      <c r="I82" s="239"/>
      <c r="J82" s="210">
        <v>0</v>
      </c>
      <c r="K82" s="209">
        <v>0</v>
      </c>
      <c r="L82" s="209">
        <v>-654353</v>
      </c>
      <c r="M82" s="209">
        <v>0</v>
      </c>
      <c r="N82" s="242">
        <v>0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-654353</v>
      </c>
      <c r="H83" s="239"/>
      <c r="I83" s="239"/>
      <c r="J83" s="210">
        <v>0</v>
      </c>
      <c r="K83" s="209">
        <v>0</v>
      </c>
      <c r="L83" s="209">
        <v>-654353</v>
      </c>
      <c r="M83" s="209">
        <v>0</v>
      </c>
      <c r="N83" s="242">
        <v>0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-654353</v>
      </c>
      <c r="H85" s="239"/>
      <c r="I85" s="239"/>
      <c r="J85" s="210">
        <v>0</v>
      </c>
      <c r="K85" s="209">
        <v>0</v>
      </c>
      <c r="L85" s="209">
        <v>-654353</v>
      </c>
      <c r="M85" s="209">
        <v>0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-654353</v>
      </c>
      <c r="H87" s="239"/>
      <c r="I87" s="239"/>
      <c r="J87" s="210">
        <v>0</v>
      </c>
      <c r="K87" s="209">
        <v>0</v>
      </c>
      <c r="L87" s="209">
        <v>-654353</v>
      </c>
      <c r="M87" s="209">
        <v>0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-654353</v>
      </c>
      <c r="H91" s="239"/>
      <c r="I91" s="239"/>
      <c r="J91" s="210">
        <v>0</v>
      </c>
      <c r="K91" s="209">
        <v>0</v>
      </c>
      <c r="L91" s="209">
        <v>-654353</v>
      </c>
      <c r="M91" s="209">
        <v>0</v>
      </c>
      <c r="N91" s="242">
        <v>0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-654353</v>
      </c>
      <c r="H92" s="239"/>
      <c r="I92" s="239"/>
      <c r="J92" s="210">
        <v>0</v>
      </c>
      <c r="K92" s="209">
        <v>0</v>
      </c>
      <c r="L92" s="209">
        <v>-654353</v>
      </c>
      <c r="M92" s="209">
        <v>0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-654353</v>
      </c>
      <c r="H96" s="239"/>
      <c r="I96" s="239"/>
      <c r="J96" s="210">
        <v>0</v>
      </c>
      <c r="K96" s="209">
        <v>0</v>
      </c>
      <c r="L96" s="209">
        <v>-654353</v>
      </c>
      <c r="M96" s="209">
        <v>0</v>
      </c>
      <c r="N96" s="242">
        <v>0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-654353</v>
      </c>
      <c r="H97" s="239"/>
      <c r="I97" s="239"/>
      <c r="J97" s="210">
        <v>0</v>
      </c>
      <c r="K97" s="209">
        <v>0</v>
      </c>
      <c r="L97" s="209">
        <v>-654353</v>
      </c>
      <c r="M97" s="209">
        <v>0</v>
      </c>
      <c r="N97" s="242">
        <v>0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-654353</v>
      </c>
      <c r="H99" s="239"/>
      <c r="I99" s="239"/>
      <c r="J99" s="210">
        <v>0</v>
      </c>
      <c r="K99" s="209">
        <v>0</v>
      </c>
      <c r="L99" s="209">
        <v>-654353</v>
      </c>
      <c r="M99" s="209">
        <v>0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-654353</v>
      </c>
      <c r="H102" s="239"/>
      <c r="I102" s="239"/>
      <c r="J102" s="210">
        <v>0</v>
      </c>
      <c r="K102" s="209">
        <v>0</v>
      </c>
      <c r="L102" s="209">
        <v>-654353</v>
      </c>
      <c r="M102" s="209">
        <v>0</v>
      </c>
      <c r="N102" s="242">
        <v>0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-654353</v>
      </c>
      <c r="H103" s="239"/>
      <c r="I103" s="239"/>
      <c r="J103" s="210">
        <v>0</v>
      </c>
      <c r="K103" s="209">
        <v>0</v>
      </c>
      <c r="L103" s="209">
        <v>-654353</v>
      </c>
      <c r="M103" s="209">
        <v>0</v>
      </c>
      <c r="N103" s="242">
        <v>0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-1100000</v>
      </c>
      <c r="H285" s="239"/>
      <c r="I285" s="239"/>
      <c r="J285" s="210">
        <v>0</v>
      </c>
      <c r="K285" s="209">
        <v>0</v>
      </c>
      <c r="L285" s="209">
        <v>-1100000</v>
      </c>
      <c r="M285" s="209">
        <v>0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-1100000</v>
      </c>
      <c r="H286" s="239"/>
      <c r="I286" s="239"/>
      <c r="J286" s="210">
        <v>0</v>
      </c>
      <c r="K286" s="209">
        <v>0</v>
      </c>
      <c r="L286" s="209">
        <v>-1100000</v>
      </c>
      <c r="M286" s="209">
        <v>0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-109118716.79000001</v>
      </c>
      <c r="H290" s="244"/>
      <c r="I290" s="244"/>
      <c r="J290" s="208">
        <v>0</v>
      </c>
      <c r="K290" s="207">
        <v>0</v>
      </c>
      <c r="L290" s="207">
        <v>-109118716.79000001</v>
      </c>
      <c r="M290" s="207">
        <v>5.96</v>
      </c>
      <c r="N290" s="245">
        <v>5.96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-326229.71999999997</v>
      </c>
      <c r="H294" s="239"/>
      <c r="I294" s="239"/>
      <c r="J294" s="210">
        <v>-19190</v>
      </c>
      <c r="K294" s="209">
        <v>0</v>
      </c>
      <c r="L294" s="209">
        <v>-345419.72</v>
      </c>
      <c r="M294" s="209">
        <v>57571.28</v>
      </c>
      <c r="N294" s="242">
        <v>38381.279999999999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-5390941.9400000004</v>
      </c>
      <c r="H295" s="239"/>
      <c r="I295" s="239"/>
      <c r="J295" s="210">
        <v>-317164</v>
      </c>
      <c r="K295" s="209">
        <v>0</v>
      </c>
      <c r="L295" s="209">
        <v>-5708105.9400000004</v>
      </c>
      <c r="M295" s="209">
        <v>951490.06</v>
      </c>
      <c r="N295" s="242">
        <v>634326.06000000006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-2721243</v>
      </c>
      <c r="H296" s="239"/>
      <c r="I296" s="239"/>
      <c r="J296" s="210">
        <v>0</v>
      </c>
      <c r="K296" s="209">
        <v>0</v>
      </c>
      <c r="L296" s="209">
        <v>-2721243</v>
      </c>
      <c r="M296" s="209">
        <v>0</v>
      </c>
      <c r="N296" s="242">
        <v>0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-4318238.8</v>
      </c>
      <c r="H297" s="239"/>
      <c r="I297" s="239"/>
      <c r="J297" s="210">
        <v>0</v>
      </c>
      <c r="K297" s="209">
        <v>0</v>
      </c>
      <c r="L297" s="209">
        <v>-4318238.8</v>
      </c>
      <c r="M297" s="209">
        <v>0</v>
      </c>
      <c r="N297" s="242">
        <v>0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-3522295.89</v>
      </c>
      <c r="H298" s="239"/>
      <c r="I298" s="239"/>
      <c r="J298" s="210">
        <v>-207201</v>
      </c>
      <c r="K298" s="209">
        <v>0</v>
      </c>
      <c r="L298" s="209">
        <v>-3729496.89</v>
      </c>
      <c r="M298" s="209">
        <v>621602.71</v>
      </c>
      <c r="N298" s="242">
        <v>414401.71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-632099.6</v>
      </c>
      <c r="H299" s="239"/>
      <c r="I299" s="239"/>
      <c r="J299" s="210">
        <v>0</v>
      </c>
      <c r="K299" s="209">
        <v>0</v>
      </c>
      <c r="L299" s="209">
        <v>-632099.6</v>
      </c>
      <c r="M299" s="209">
        <v>0</v>
      </c>
      <c r="N299" s="242">
        <v>0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-520598.46</v>
      </c>
      <c r="H300" s="239"/>
      <c r="I300" s="239"/>
      <c r="J300" s="210">
        <v>-32538</v>
      </c>
      <c r="K300" s="209">
        <v>0</v>
      </c>
      <c r="L300" s="209">
        <v>-553136.46</v>
      </c>
      <c r="M300" s="209">
        <v>130151.54</v>
      </c>
      <c r="N300" s="242">
        <v>97613.54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-93332.26</v>
      </c>
      <c r="H301" s="239"/>
      <c r="I301" s="239"/>
      <c r="J301" s="210">
        <v>-5981</v>
      </c>
      <c r="K301" s="209">
        <v>0</v>
      </c>
      <c r="L301" s="209">
        <v>-99313.26</v>
      </c>
      <c r="M301" s="209">
        <v>25917.74</v>
      </c>
      <c r="N301" s="242">
        <v>19936.740000000002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-2462624.14</v>
      </c>
      <c r="H302" s="239"/>
      <c r="I302" s="239"/>
      <c r="J302" s="210">
        <v>-164176</v>
      </c>
      <c r="K302" s="209">
        <v>0</v>
      </c>
      <c r="L302" s="209">
        <v>-2626800.14</v>
      </c>
      <c r="M302" s="209">
        <v>820878.86</v>
      </c>
      <c r="N302" s="242">
        <v>656702.86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-74744</v>
      </c>
      <c r="H304" s="239"/>
      <c r="I304" s="239"/>
      <c r="J304" s="210">
        <v>-6546</v>
      </c>
      <c r="K304" s="209">
        <v>0</v>
      </c>
      <c r="L304" s="209">
        <v>-81290</v>
      </c>
      <c r="M304" s="209">
        <v>23456</v>
      </c>
      <c r="N304" s="242">
        <v>16910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-1107237</v>
      </c>
      <c r="H305" s="239"/>
      <c r="I305" s="239"/>
      <c r="J305" s="210">
        <v>0</v>
      </c>
      <c r="K305" s="209">
        <v>0</v>
      </c>
      <c r="L305" s="209">
        <v>-1107237</v>
      </c>
      <c r="M305" s="209">
        <v>0</v>
      </c>
      <c r="N305" s="242">
        <v>0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-21360301.710000001</v>
      </c>
      <c r="H306" s="244"/>
      <c r="I306" s="244"/>
      <c r="J306" s="208">
        <v>-752796</v>
      </c>
      <c r="K306" s="207">
        <v>0</v>
      </c>
      <c r="L306" s="207">
        <v>-22113097.710000001</v>
      </c>
      <c r="M306" s="207">
        <v>2631068.19</v>
      </c>
      <c r="N306" s="245">
        <v>1878272.19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-253101</v>
      </c>
      <c r="H311" s="239"/>
      <c r="I311" s="239"/>
      <c r="J311" s="210">
        <v>0</v>
      </c>
      <c r="K311" s="209">
        <v>0</v>
      </c>
      <c r="L311" s="209">
        <v>-253101</v>
      </c>
      <c r="M311" s="209">
        <v>0</v>
      </c>
      <c r="N311" s="242">
        <v>0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-300510.5</v>
      </c>
      <c r="H314" s="239"/>
      <c r="I314" s="239"/>
      <c r="J314" s="210">
        <v>0</v>
      </c>
      <c r="K314" s="209">
        <v>0</v>
      </c>
      <c r="L314" s="209">
        <v>-300510.5</v>
      </c>
      <c r="M314" s="209">
        <v>0</v>
      </c>
      <c r="N314" s="242">
        <v>0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-911136.8</v>
      </c>
      <c r="H315" s="239"/>
      <c r="I315" s="239"/>
      <c r="J315" s="210">
        <v>0</v>
      </c>
      <c r="K315" s="209">
        <v>0</v>
      </c>
      <c r="L315" s="209">
        <v>-911136.8</v>
      </c>
      <c r="M315" s="209">
        <v>0</v>
      </c>
      <c r="N315" s="242">
        <v>0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-14018558.199999999</v>
      </c>
      <c r="H316" s="244"/>
      <c r="I316" s="244"/>
      <c r="J316" s="208">
        <v>0</v>
      </c>
      <c r="K316" s="207">
        <v>0</v>
      </c>
      <c r="L316" s="207">
        <v>-14018558.199999999</v>
      </c>
      <c r="M316" s="207">
        <v>0.45</v>
      </c>
      <c r="N316" s="245">
        <v>0.45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-313654</v>
      </c>
      <c r="H334" s="239"/>
      <c r="I334" s="239"/>
      <c r="J334" s="210">
        <v>0</v>
      </c>
      <c r="K334" s="209">
        <v>0</v>
      </c>
      <c r="L334" s="209">
        <v>-313654</v>
      </c>
      <c r="M334" s="209">
        <v>0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-1244337</v>
      </c>
      <c r="H335" s="239"/>
      <c r="I335" s="239"/>
      <c r="J335" s="210">
        <v>0</v>
      </c>
      <c r="K335" s="209">
        <v>0</v>
      </c>
      <c r="L335" s="209">
        <v>-1244337</v>
      </c>
      <c r="M335" s="209">
        <v>0</v>
      </c>
      <c r="N335" s="242">
        <v>0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-1059450</v>
      </c>
      <c r="H341" s="239"/>
      <c r="I341" s="239"/>
      <c r="J341" s="210">
        <v>0</v>
      </c>
      <c r="K341" s="209">
        <v>0</v>
      </c>
      <c r="L341" s="209">
        <v>-1059450</v>
      </c>
      <c r="M341" s="209">
        <v>0</v>
      </c>
      <c r="N341" s="242">
        <v>0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-226230.04</v>
      </c>
      <c r="H342" s="239"/>
      <c r="I342" s="239"/>
      <c r="J342" s="210">
        <v>-13246</v>
      </c>
      <c r="K342" s="209">
        <v>0</v>
      </c>
      <c r="L342" s="209">
        <v>-239476.04</v>
      </c>
      <c r="M342" s="209">
        <v>38632.959999999999</v>
      </c>
      <c r="N342" s="242">
        <v>25386.959999999999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-949602</v>
      </c>
      <c r="H353" s="239"/>
      <c r="I353" s="239"/>
      <c r="J353" s="210">
        <v>0</v>
      </c>
      <c r="K353" s="209">
        <v>0</v>
      </c>
      <c r="L353" s="209">
        <v>-949602</v>
      </c>
      <c r="M353" s="209">
        <v>0</v>
      </c>
      <c r="N353" s="242">
        <v>0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-384544.13</v>
      </c>
      <c r="H354" s="239"/>
      <c r="I354" s="239"/>
      <c r="J354" s="210">
        <v>-21044</v>
      </c>
      <c r="K354" s="209">
        <v>0</v>
      </c>
      <c r="L354" s="209">
        <v>-405588.13</v>
      </c>
      <c r="M354" s="209">
        <v>42088.87</v>
      </c>
      <c r="N354" s="242">
        <v>21044.87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-80000</v>
      </c>
      <c r="H357" s="239"/>
      <c r="I357" s="239"/>
      <c r="J357" s="210">
        <v>0</v>
      </c>
      <c r="K357" s="209">
        <v>0</v>
      </c>
      <c r="L357" s="209">
        <v>-80000</v>
      </c>
      <c r="M357" s="209">
        <v>0</v>
      </c>
      <c r="N357" s="242">
        <v>0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-77000</v>
      </c>
      <c r="H358" s="239"/>
      <c r="I358" s="239"/>
      <c r="J358" s="210">
        <v>0</v>
      </c>
      <c r="K358" s="209">
        <v>0</v>
      </c>
      <c r="L358" s="209">
        <v>-77000</v>
      </c>
      <c r="M358" s="209">
        <v>0</v>
      </c>
      <c r="N358" s="242">
        <v>0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-36712</v>
      </c>
      <c r="H359" s="239"/>
      <c r="I359" s="239"/>
      <c r="J359" s="210">
        <v>0</v>
      </c>
      <c r="K359" s="209">
        <v>0</v>
      </c>
      <c r="L359" s="209">
        <v>-36712</v>
      </c>
      <c r="M359" s="209">
        <v>0</v>
      </c>
      <c r="N359" s="242">
        <v>0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-24000</v>
      </c>
      <c r="H362" s="239"/>
      <c r="I362" s="239"/>
      <c r="J362" s="210">
        <v>0</v>
      </c>
      <c r="K362" s="209">
        <v>0</v>
      </c>
      <c r="L362" s="209">
        <v>-24000</v>
      </c>
      <c r="M362" s="209">
        <v>0</v>
      </c>
      <c r="N362" s="242">
        <v>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-3722130</v>
      </c>
      <c r="H365" s="239"/>
      <c r="I365" s="239"/>
      <c r="J365" s="210">
        <v>0</v>
      </c>
      <c r="K365" s="209">
        <v>0</v>
      </c>
      <c r="L365" s="209">
        <v>-3722130</v>
      </c>
      <c r="M365" s="209">
        <v>0</v>
      </c>
      <c r="N365" s="242">
        <v>0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-1953101</v>
      </c>
      <c r="H366" s="239"/>
      <c r="I366" s="239"/>
      <c r="J366" s="210">
        <v>0</v>
      </c>
      <c r="K366" s="209">
        <v>0</v>
      </c>
      <c r="L366" s="209">
        <v>-1953101</v>
      </c>
      <c r="M366" s="209">
        <v>0</v>
      </c>
      <c r="N366" s="242">
        <v>0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-897972</v>
      </c>
      <c r="H367" s="239"/>
      <c r="I367" s="239"/>
      <c r="J367" s="210">
        <v>0</v>
      </c>
      <c r="K367" s="209">
        <v>0</v>
      </c>
      <c r="L367" s="209">
        <v>-897972</v>
      </c>
      <c r="M367" s="209">
        <v>0</v>
      </c>
      <c r="N367" s="242">
        <v>0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-942422</v>
      </c>
      <c r="H368" s="239"/>
      <c r="I368" s="239"/>
      <c r="J368" s="210">
        <v>0</v>
      </c>
      <c r="K368" s="209">
        <v>0</v>
      </c>
      <c r="L368" s="209">
        <v>-942422</v>
      </c>
      <c r="M368" s="209">
        <v>0</v>
      </c>
      <c r="N368" s="242">
        <v>0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-489206</v>
      </c>
      <c r="H369" s="239"/>
      <c r="I369" s="239"/>
      <c r="J369" s="210">
        <v>0</v>
      </c>
      <c r="K369" s="209">
        <v>0</v>
      </c>
      <c r="L369" s="209">
        <v>-489206</v>
      </c>
      <c r="M369" s="209">
        <v>0</v>
      </c>
      <c r="N369" s="242">
        <v>0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-1119681.2</v>
      </c>
      <c r="H370" s="239"/>
      <c r="I370" s="239"/>
      <c r="J370" s="210">
        <v>-68551</v>
      </c>
      <c r="K370" s="209">
        <v>0</v>
      </c>
      <c r="L370" s="209">
        <v>-1188232.2</v>
      </c>
      <c r="M370" s="209">
        <v>251352.8</v>
      </c>
      <c r="N370" s="242">
        <v>182801.8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-2550415</v>
      </c>
      <c r="H371" s="239"/>
      <c r="I371" s="239"/>
      <c r="J371" s="210">
        <v>0</v>
      </c>
      <c r="K371" s="209">
        <v>0</v>
      </c>
      <c r="L371" s="209">
        <v>-2550415</v>
      </c>
      <c r="M371" s="209">
        <v>0</v>
      </c>
      <c r="N371" s="242">
        <v>0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-724974.65</v>
      </c>
      <c r="H372" s="239"/>
      <c r="I372" s="239"/>
      <c r="J372" s="210">
        <v>-44386</v>
      </c>
      <c r="K372" s="209">
        <v>0</v>
      </c>
      <c r="L372" s="209">
        <v>-769360.65</v>
      </c>
      <c r="M372" s="209">
        <v>606605.35</v>
      </c>
      <c r="N372" s="242">
        <v>562219.35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-811301</v>
      </c>
      <c r="H373" s="239"/>
      <c r="I373" s="239"/>
      <c r="J373" s="210">
        <v>0</v>
      </c>
      <c r="K373" s="209">
        <v>0</v>
      </c>
      <c r="L373" s="209">
        <v>-811301</v>
      </c>
      <c r="M373" s="209">
        <v>0</v>
      </c>
      <c r="N373" s="242">
        <v>0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-79700</v>
      </c>
      <c r="H375" s="239"/>
      <c r="I375" s="239"/>
      <c r="J375" s="210">
        <v>0</v>
      </c>
      <c r="K375" s="209">
        <v>0</v>
      </c>
      <c r="L375" s="209">
        <v>-79700</v>
      </c>
      <c r="M375" s="209">
        <v>0</v>
      </c>
      <c r="N375" s="242">
        <v>0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-90830</v>
      </c>
      <c r="H377" s="239"/>
      <c r="I377" s="239"/>
      <c r="J377" s="210">
        <v>0</v>
      </c>
      <c r="K377" s="209">
        <v>0</v>
      </c>
      <c r="L377" s="209">
        <v>-90830</v>
      </c>
      <c r="M377" s="209">
        <v>0</v>
      </c>
      <c r="N377" s="242">
        <v>0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-91450</v>
      </c>
      <c r="H383" s="239"/>
      <c r="I383" s="239"/>
      <c r="J383" s="210">
        <v>0</v>
      </c>
      <c r="K383" s="209">
        <v>0</v>
      </c>
      <c r="L383" s="209">
        <v>-91450</v>
      </c>
      <c r="M383" s="209">
        <v>0</v>
      </c>
      <c r="N383" s="242">
        <v>0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-194385.55</v>
      </c>
      <c r="H384" s="239"/>
      <c r="I384" s="239"/>
      <c r="J384" s="210">
        <v>0</v>
      </c>
      <c r="K384" s="209">
        <v>0</v>
      </c>
      <c r="L384" s="209">
        <v>-194385.55</v>
      </c>
      <c r="M384" s="209">
        <v>0</v>
      </c>
      <c r="N384" s="242">
        <v>0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-125000</v>
      </c>
      <c r="H385" s="239"/>
      <c r="I385" s="239"/>
      <c r="J385" s="210">
        <v>0</v>
      </c>
      <c r="K385" s="209">
        <v>0</v>
      </c>
      <c r="L385" s="209">
        <v>-125000</v>
      </c>
      <c r="M385" s="209">
        <v>0</v>
      </c>
      <c r="N385" s="242">
        <v>0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-303679.23</v>
      </c>
      <c r="H387" s="239"/>
      <c r="I387" s="239"/>
      <c r="J387" s="210">
        <v>0</v>
      </c>
      <c r="K387" s="209">
        <v>0</v>
      </c>
      <c r="L387" s="209">
        <v>-303679.23</v>
      </c>
      <c r="M387" s="209">
        <v>0</v>
      </c>
      <c r="N387" s="242">
        <v>0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-1005105</v>
      </c>
      <c r="H388" s="239"/>
      <c r="I388" s="239"/>
      <c r="J388" s="210">
        <v>0</v>
      </c>
      <c r="K388" s="209">
        <v>0</v>
      </c>
      <c r="L388" s="209">
        <v>-1005105</v>
      </c>
      <c r="M388" s="209">
        <v>0</v>
      </c>
      <c r="N388" s="242">
        <v>0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-51000</v>
      </c>
      <c r="H389" s="239"/>
      <c r="I389" s="239"/>
      <c r="J389" s="210">
        <v>0</v>
      </c>
      <c r="K389" s="209">
        <v>0</v>
      </c>
      <c r="L389" s="209">
        <v>-51000</v>
      </c>
      <c r="M389" s="209">
        <v>0</v>
      </c>
      <c r="N389" s="242">
        <v>0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-62564</v>
      </c>
      <c r="H390" s="239"/>
      <c r="I390" s="239"/>
      <c r="J390" s="210">
        <v>0</v>
      </c>
      <c r="K390" s="209">
        <v>0</v>
      </c>
      <c r="L390" s="209">
        <v>-62564</v>
      </c>
      <c r="M390" s="209">
        <v>0</v>
      </c>
      <c r="N390" s="242">
        <v>0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-386739</v>
      </c>
      <c r="H391" s="239"/>
      <c r="I391" s="239"/>
      <c r="J391" s="210">
        <v>0</v>
      </c>
      <c r="K391" s="209">
        <v>0</v>
      </c>
      <c r="L391" s="209">
        <v>-386739</v>
      </c>
      <c r="M391" s="209">
        <v>0</v>
      </c>
      <c r="N391" s="242">
        <v>0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-290297.56</v>
      </c>
      <c r="H392" s="239"/>
      <c r="I392" s="239"/>
      <c r="J392" s="210">
        <v>-18143</v>
      </c>
      <c r="K392" s="209">
        <v>0</v>
      </c>
      <c r="L392" s="209">
        <v>-308440.56</v>
      </c>
      <c r="M392" s="209">
        <v>254001.3</v>
      </c>
      <c r="N392" s="242">
        <v>235858.3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-685164.34</v>
      </c>
      <c r="H393" s="239"/>
      <c r="I393" s="239"/>
      <c r="J393" s="210">
        <v>0</v>
      </c>
      <c r="K393" s="209">
        <v>0</v>
      </c>
      <c r="L393" s="209">
        <v>-685164.34</v>
      </c>
      <c r="M393" s="209">
        <v>0</v>
      </c>
      <c r="N393" s="242">
        <v>0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-1023590.3</v>
      </c>
      <c r="H394" s="239"/>
      <c r="I394" s="239"/>
      <c r="J394" s="210">
        <v>0</v>
      </c>
      <c r="K394" s="209">
        <v>0</v>
      </c>
      <c r="L394" s="209">
        <v>-1023590.3</v>
      </c>
      <c r="M394" s="209">
        <v>0</v>
      </c>
      <c r="N394" s="242">
        <v>0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-1857042.34</v>
      </c>
      <c r="H395" s="239"/>
      <c r="I395" s="239"/>
      <c r="J395" s="210">
        <v>0</v>
      </c>
      <c r="K395" s="209">
        <v>0</v>
      </c>
      <c r="L395" s="209">
        <v>-1857042.34</v>
      </c>
      <c r="M395" s="209">
        <v>0</v>
      </c>
      <c r="N395" s="242">
        <v>0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-696844.44</v>
      </c>
      <c r="H396" s="239"/>
      <c r="I396" s="239"/>
      <c r="J396" s="210">
        <v>-43554</v>
      </c>
      <c r="K396" s="209">
        <v>0</v>
      </c>
      <c r="L396" s="209">
        <v>-740398.44</v>
      </c>
      <c r="M396" s="209">
        <v>609754.56000000006</v>
      </c>
      <c r="N396" s="242">
        <v>566200.56000000006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-128100</v>
      </c>
      <c r="H400" s="239"/>
      <c r="I400" s="239"/>
      <c r="J400" s="210">
        <v>0</v>
      </c>
      <c r="K400" s="209">
        <v>0</v>
      </c>
      <c r="L400" s="209">
        <v>-128100</v>
      </c>
      <c r="M400" s="209">
        <v>0</v>
      </c>
      <c r="N400" s="242">
        <v>0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-60000</v>
      </c>
      <c r="H402" s="239"/>
      <c r="I402" s="239"/>
      <c r="J402" s="210">
        <v>0</v>
      </c>
      <c r="K402" s="209">
        <v>0</v>
      </c>
      <c r="L402" s="209">
        <v>-60000</v>
      </c>
      <c r="M402" s="209">
        <v>0</v>
      </c>
      <c r="N402" s="242">
        <v>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-46624</v>
      </c>
      <c r="H403" s="239"/>
      <c r="I403" s="239"/>
      <c r="J403" s="210">
        <v>0</v>
      </c>
      <c r="K403" s="209">
        <v>0</v>
      </c>
      <c r="L403" s="209">
        <v>-46624</v>
      </c>
      <c r="M403" s="209">
        <v>0</v>
      </c>
      <c r="N403" s="242">
        <v>0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-450927.37</v>
      </c>
      <c r="H406" s="239"/>
      <c r="I406" s="239"/>
      <c r="J406" s="210">
        <v>-28937</v>
      </c>
      <c r="K406" s="209">
        <v>0</v>
      </c>
      <c r="L406" s="209">
        <v>-479864.37</v>
      </c>
      <c r="M406" s="209">
        <v>127807.63</v>
      </c>
      <c r="N406" s="242">
        <v>98870.63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-762900</v>
      </c>
      <c r="H407" s="239"/>
      <c r="I407" s="239"/>
      <c r="J407" s="210">
        <v>0</v>
      </c>
      <c r="K407" s="209">
        <v>0</v>
      </c>
      <c r="L407" s="209">
        <v>-762900</v>
      </c>
      <c r="M407" s="209">
        <v>0</v>
      </c>
      <c r="N407" s="242">
        <v>0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-43000</v>
      </c>
      <c r="H415" s="239"/>
      <c r="I415" s="239"/>
      <c r="J415" s="210">
        <v>0</v>
      </c>
      <c r="K415" s="209">
        <v>0</v>
      </c>
      <c r="L415" s="209">
        <v>-43000</v>
      </c>
      <c r="M415" s="209">
        <v>0</v>
      </c>
      <c r="N415" s="242">
        <v>0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-140500</v>
      </c>
      <c r="H417" s="239"/>
      <c r="I417" s="239"/>
      <c r="J417" s="210">
        <v>0</v>
      </c>
      <c r="K417" s="209">
        <v>0</v>
      </c>
      <c r="L417" s="209">
        <v>-140500</v>
      </c>
      <c r="M417" s="209">
        <v>0</v>
      </c>
      <c r="N417" s="242">
        <v>0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-403532.49</v>
      </c>
      <c r="H418" s="239"/>
      <c r="I418" s="239"/>
      <c r="J418" s="210">
        <v>0</v>
      </c>
      <c r="K418" s="209">
        <v>0</v>
      </c>
      <c r="L418" s="209">
        <v>-403532.49</v>
      </c>
      <c r="M418" s="209">
        <v>0</v>
      </c>
      <c r="N418" s="242">
        <v>0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-153795.99</v>
      </c>
      <c r="H420" s="239"/>
      <c r="I420" s="239"/>
      <c r="J420" s="210">
        <v>-10031</v>
      </c>
      <c r="K420" s="209">
        <v>0</v>
      </c>
      <c r="L420" s="209">
        <v>-163826.99</v>
      </c>
      <c r="M420" s="209">
        <v>46812.01</v>
      </c>
      <c r="N420" s="242">
        <v>36781.01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-250000</v>
      </c>
      <c r="H423" s="239"/>
      <c r="I423" s="239"/>
      <c r="J423" s="210">
        <v>0</v>
      </c>
      <c r="K423" s="209">
        <v>0</v>
      </c>
      <c r="L423" s="209">
        <v>-250000</v>
      </c>
      <c r="M423" s="209">
        <v>0</v>
      </c>
      <c r="N423" s="242">
        <v>0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-205000</v>
      </c>
      <c r="H424" s="239"/>
      <c r="I424" s="239"/>
      <c r="J424" s="210">
        <v>0</v>
      </c>
      <c r="K424" s="209">
        <v>0</v>
      </c>
      <c r="L424" s="209">
        <v>-205000</v>
      </c>
      <c r="M424" s="209">
        <v>0</v>
      </c>
      <c r="N424" s="242">
        <v>0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-56474.5</v>
      </c>
      <c r="H426" s="239"/>
      <c r="I426" s="239"/>
      <c r="J426" s="210">
        <v>0</v>
      </c>
      <c r="K426" s="209">
        <v>0</v>
      </c>
      <c r="L426" s="209">
        <v>-56474.5</v>
      </c>
      <c r="M426" s="209">
        <v>0</v>
      </c>
      <c r="N426" s="242">
        <v>0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-184087</v>
      </c>
      <c r="H427" s="239"/>
      <c r="I427" s="239"/>
      <c r="J427" s="210">
        <v>0</v>
      </c>
      <c r="K427" s="209">
        <v>0</v>
      </c>
      <c r="L427" s="209">
        <v>-184087</v>
      </c>
      <c r="M427" s="209">
        <v>0</v>
      </c>
      <c r="N427" s="242">
        <v>0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-82085</v>
      </c>
      <c r="H428" s="239"/>
      <c r="I428" s="239"/>
      <c r="J428" s="210">
        <v>0</v>
      </c>
      <c r="K428" s="209">
        <v>0</v>
      </c>
      <c r="L428" s="209">
        <v>-82085</v>
      </c>
      <c r="M428" s="209">
        <v>0</v>
      </c>
      <c r="N428" s="242">
        <v>0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-30500</v>
      </c>
      <c r="H429" s="239"/>
      <c r="I429" s="239"/>
      <c r="J429" s="210">
        <v>0</v>
      </c>
      <c r="K429" s="209">
        <v>0</v>
      </c>
      <c r="L429" s="209">
        <v>-30500</v>
      </c>
      <c r="M429" s="209">
        <v>0</v>
      </c>
      <c r="N429" s="242">
        <v>0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-110000</v>
      </c>
      <c r="H430" s="239"/>
      <c r="I430" s="239"/>
      <c r="J430" s="210">
        <v>0</v>
      </c>
      <c r="K430" s="209">
        <v>0</v>
      </c>
      <c r="L430" s="209">
        <v>-110000</v>
      </c>
      <c r="M430" s="209">
        <v>0</v>
      </c>
      <c r="N430" s="242">
        <v>0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-46500</v>
      </c>
      <c r="H431" s="239"/>
      <c r="I431" s="239"/>
      <c r="J431" s="210">
        <v>0</v>
      </c>
      <c r="K431" s="209">
        <v>0</v>
      </c>
      <c r="L431" s="209">
        <v>-46500</v>
      </c>
      <c r="M431" s="209">
        <v>0</v>
      </c>
      <c r="N431" s="242">
        <v>0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-150489</v>
      </c>
      <c r="H432" s="239"/>
      <c r="I432" s="239"/>
      <c r="J432" s="210">
        <v>0</v>
      </c>
      <c r="K432" s="209">
        <v>0</v>
      </c>
      <c r="L432" s="209">
        <v>-150489</v>
      </c>
      <c r="M432" s="209">
        <v>0</v>
      </c>
      <c r="N432" s="242">
        <v>0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-724515.51</v>
      </c>
      <c r="H433" s="239"/>
      <c r="I433" s="239"/>
      <c r="J433" s="210">
        <v>-0.49</v>
      </c>
      <c r="K433" s="209">
        <v>0</v>
      </c>
      <c r="L433" s="209">
        <v>-724516</v>
      </c>
      <c r="M433" s="209">
        <v>0.49</v>
      </c>
      <c r="N433" s="242">
        <v>0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-300088</v>
      </c>
      <c r="H435" s="239"/>
      <c r="I435" s="239"/>
      <c r="J435" s="210">
        <v>0</v>
      </c>
      <c r="K435" s="209">
        <v>0</v>
      </c>
      <c r="L435" s="209">
        <v>-300088</v>
      </c>
      <c r="M435" s="209">
        <v>0</v>
      </c>
      <c r="N435" s="242">
        <v>0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-66500</v>
      </c>
      <c r="H436" s="239"/>
      <c r="I436" s="239"/>
      <c r="J436" s="210">
        <v>0</v>
      </c>
      <c r="K436" s="209">
        <v>0</v>
      </c>
      <c r="L436" s="209">
        <v>-66500</v>
      </c>
      <c r="M436" s="209">
        <v>0</v>
      </c>
      <c r="N436" s="242">
        <v>0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-66500</v>
      </c>
      <c r="H437" s="239"/>
      <c r="I437" s="239"/>
      <c r="J437" s="210">
        <v>0</v>
      </c>
      <c r="K437" s="209">
        <v>0</v>
      </c>
      <c r="L437" s="209">
        <v>-66500</v>
      </c>
      <c r="M437" s="209">
        <v>0</v>
      </c>
      <c r="N437" s="242">
        <v>0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-66500</v>
      </c>
      <c r="H438" s="239"/>
      <c r="I438" s="239"/>
      <c r="J438" s="210">
        <v>0</v>
      </c>
      <c r="K438" s="209">
        <v>0</v>
      </c>
      <c r="L438" s="209">
        <v>-66500</v>
      </c>
      <c r="M438" s="209">
        <v>0</v>
      </c>
      <c r="N438" s="242">
        <v>0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-66500</v>
      </c>
      <c r="H439" s="239"/>
      <c r="I439" s="239"/>
      <c r="J439" s="210">
        <v>0</v>
      </c>
      <c r="K439" s="209">
        <v>0</v>
      </c>
      <c r="L439" s="209">
        <v>-66500</v>
      </c>
      <c r="M439" s="209">
        <v>0</v>
      </c>
      <c r="N439" s="242">
        <v>0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-66500</v>
      </c>
      <c r="H440" s="239"/>
      <c r="I440" s="239"/>
      <c r="J440" s="210">
        <v>0</v>
      </c>
      <c r="K440" s="209">
        <v>0</v>
      </c>
      <c r="L440" s="209">
        <v>-66500</v>
      </c>
      <c r="M440" s="209">
        <v>0</v>
      </c>
      <c r="N440" s="242">
        <v>0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-66500</v>
      </c>
      <c r="H441" s="239"/>
      <c r="I441" s="239"/>
      <c r="J441" s="210">
        <v>0</v>
      </c>
      <c r="K441" s="209">
        <v>0</v>
      </c>
      <c r="L441" s="209">
        <v>-66500</v>
      </c>
      <c r="M441" s="209">
        <v>0</v>
      </c>
      <c r="N441" s="242">
        <v>0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-66500</v>
      </c>
      <c r="H442" s="239"/>
      <c r="I442" s="239"/>
      <c r="J442" s="210">
        <v>0</v>
      </c>
      <c r="K442" s="209">
        <v>0</v>
      </c>
      <c r="L442" s="209">
        <v>-66500</v>
      </c>
      <c r="M442" s="209">
        <v>0</v>
      </c>
      <c r="N442" s="242">
        <v>0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-66500</v>
      </c>
      <c r="H443" s="239"/>
      <c r="I443" s="239"/>
      <c r="J443" s="210">
        <v>0</v>
      </c>
      <c r="K443" s="209">
        <v>0</v>
      </c>
      <c r="L443" s="209">
        <v>-66500</v>
      </c>
      <c r="M443" s="209">
        <v>0</v>
      </c>
      <c r="N443" s="242">
        <v>0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-315258.55</v>
      </c>
      <c r="H444" s="239"/>
      <c r="I444" s="239"/>
      <c r="J444" s="210">
        <v>-21018</v>
      </c>
      <c r="K444" s="209">
        <v>0</v>
      </c>
      <c r="L444" s="209">
        <v>-336276.55</v>
      </c>
      <c r="M444" s="209">
        <v>105090.45</v>
      </c>
      <c r="N444" s="242">
        <v>84072.45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-68000</v>
      </c>
      <c r="H447" s="239"/>
      <c r="I447" s="239"/>
      <c r="J447" s="210">
        <v>0</v>
      </c>
      <c r="K447" s="209">
        <v>0</v>
      </c>
      <c r="L447" s="209">
        <v>-68000</v>
      </c>
      <c r="M447" s="209">
        <v>0</v>
      </c>
      <c r="N447" s="242">
        <v>0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-175100</v>
      </c>
      <c r="H450" s="239"/>
      <c r="I450" s="239"/>
      <c r="J450" s="210">
        <v>0</v>
      </c>
      <c r="K450" s="209">
        <v>0</v>
      </c>
      <c r="L450" s="209">
        <v>-175100</v>
      </c>
      <c r="M450" s="209">
        <v>0</v>
      </c>
      <c r="N450" s="242">
        <v>0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-75350</v>
      </c>
      <c r="H465" s="239"/>
      <c r="I465" s="239"/>
      <c r="J465" s="210">
        <v>0</v>
      </c>
      <c r="K465" s="209">
        <v>0</v>
      </c>
      <c r="L465" s="209">
        <v>-75350</v>
      </c>
      <c r="M465" s="209">
        <v>0</v>
      </c>
      <c r="N465" s="242">
        <v>0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-75350</v>
      </c>
      <c r="H466" s="239"/>
      <c r="I466" s="239"/>
      <c r="J466" s="210">
        <v>0</v>
      </c>
      <c r="K466" s="209">
        <v>0</v>
      </c>
      <c r="L466" s="209">
        <v>-75350</v>
      </c>
      <c r="M466" s="209">
        <v>0</v>
      </c>
      <c r="N466" s="242">
        <v>0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-75350</v>
      </c>
      <c r="H467" s="239"/>
      <c r="I467" s="239"/>
      <c r="J467" s="210">
        <v>0</v>
      </c>
      <c r="K467" s="209">
        <v>0</v>
      </c>
      <c r="L467" s="209">
        <v>-75350</v>
      </c>
      <c r="M467" s="209">
        <v>0</v>
      </c>
      <c r="N467" s="242">
        <v>0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-75350</v>
      </c>
      <c r="H468" s="239"/>
      <c r="I468" s="239"/>
      <c r="J468" s="210">
        <v>0</v>
      </c>
      <c r="K468" s="209">
        <v>0</v>
      </c>
      <c r="L468" s="209">
        <v>-75350</v>
      </c>
      <c r="M468" s="209">
        <v>0</v>
      </c>
      <c r="N468" s="242">
        <v>0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-76383</v>
      </c>
      <c r="H469" s="239"/>
      <c r="I469" s="239"/>
      <c r="J469" s="210">
        <v>0</v>
      </c>
      <c r="K469" s="209">
        <v>0</v>
      </c>
      <c r="L469" s="209">
        <v>-76383</v>
      </c>
      <c r="M469" s="209">
        <v>0</v>
      </c>
      <c r="N469" s="242">
        <v>0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-76383</v>
      </c>
      <c r="H470" s="239"/>
      <c r="I470" s="239"/>
      <c r="J470" s="210">
        <v>0</v>
      </c>
      <c r="K470" s="209">
        <v>0</v>
      </c>
      <c r="L470" s="209">
        <v>-76383</v>
      </c>
      <c r="M470" s="209">
        <v>0</v>
      </c>
      <c r="N470" s="242">
        <v>0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-76383</v>
      </c>
      <c r="H471" s="239"/>
      <c r="I471" s="239"/>
      <c r="J471" s="210">
        <v>0</v>
      </c>
      <c r="K471" s="209">
        <v>0</v>
      </c>
      <c r="L471" s="209">
        <v>-76383</v>
      </c>
      <c r="M471" s="209">
        <v>0</v>
      </c>
      <c r="N471" s="242">
        <v>0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-33519</v>
      </c>
      <c r="H473" s="239"/>
      <c r="I473" s="239"/>
      <c r="J473" s="210">
        <v>0</v>
      </c>
      <c r="K473" s="209">
        <v>0</v>
      </c>
      <c r="L473" s="209">
        <v>-33519</v>
      </c>
      <c r="M473" s="209">
        <v>0</v>
      </c>
      <c r="N473" s="242">
        <v>0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-191396.29</v>
      </c>
      <c r="H483" s="239"/>
      <c r="I483" s="239"/>
      <c r="J483" s="210">
        <v>-13671.71</v>
      </c>
      <c r="K483" s="209">
        <v>0</v>
      </c>
      <c r="L483" s="209">
        <v>-205068</v>
      </c>
      <c r="M483" s="209">
        <v>13671.71</v>
      </c>
      <c r="N483" s="242">
        <v>0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-52832</v>
      </c>
      <c r="H484" s="239"/>
      <c r="I484" s="239"/>
      <c r="J484" s="210">
        <v>0</v>
      </c>
      <c r="K484" s="209">
        <v>0</v>
      </c>
      <c r="L484" s="209">
        <v>-52832</v>
      </c>
      <c r="M484" s="209">
        <v>0</v>
      </c>
      <c r="N484" s="242">
        <v>0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-58390.09</v>
      </c>
      <c r="H485" s="239"/>
      <c r="I485" s="239"/>
      <c r="J485" s="210">
        <v>-4169.91</v>
      </c>
      <c r="K485" s="209">
        <v>0</v>
      </c>
      <c r="L485" s="209">
        <v>-62560</v>
      </c>
      <c r="M485" s="209">
        <v>4169.91</v>
      </c>
      <c r="N485" s="242">
        <v>0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-58390.09</v>
      </c>
      <c r="H486" s="239"/>
      <c r="I486" s="239"/>
      <c r="J486" s="210">
        <v>-4169.91</v>
      </c>
      <c r="K486" s="209">
        <v>0</v>
      </c>
      <c r="L486" s="209">
        <v>-62560</v>
      </c>
      <c r="M486" s="209">
        <v>4169.91</v>
      </c>
      <c r="N486" s="242">
        <v>0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-58390.09</v>
      </c>
      <c r="H487" s="239"/>
      <c r="I487" s="239"/>
      <c r="J487" s="210">
        <v>-4169.91</v>
      </c>
      <c r="K487" s="209">
        <v>0</v>
      </c>
      <c r="L487" s="209">
        <v>-62560</v>
      </c>
      <c r="M487" s="209">
        <v>4169.91</v>
      </c>
      <c r="N487" s="242">
        <v>0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-58390.09</v>
      </c>
      <c r="H488" s="239"/>
      <c r="I488" s="239"/>
      <c r="J488" s="210">
        <v>-4169.91</v>
      </c>
      <c r="K488" s="209">
        <v>0</v>
      </c>
      <c r="L488" s="209">
        <v>-62560</v>
      </c>
      <c r="M488" s="209">
        <v>4169.91</v>
      </c>
      <c r="N488" s="242">
        <v>0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-58390.09</v>
      </c>
      <c r="H489" s="239"/>
      <c r="I489" s="239"/>
      <c r="J489" s="210">
        <v>-4169.91</v>
      </c>
      <c r="K489" s="209">
        <v>0</v>
      </c>
      <c r="L489" s="209">
        <v>-62560</v>
      </c>
      <c r="M489" s="209">
        <v>4169.91</v>
      </c>
      <c r="N489" s="242">
        <v>0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-58390.09</v>
      </c>
      <c r="H490" s="239"/>
      <c r="I490" s="239"/>
      <c r="J490" s="210">
        <v>-4169.91</v>
      </c>
      <c r="K490" s="209">
        <v>0</v>
      </c>
      <c r="L490" s="209">
        <v>-62560</v>
      </c>
      <c r="M490" s="209">
        <v>4169.91</v>
      </c>
      <c r="N490" s="242">
        <v>0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-58390.09</v>
      </c>
      <c r="H491" s="239"/>
      <c r="I491" s="239"/>
      <c r="J491" s="210">
        <v>-4169.91</v>
      </c>
      <c r="K491" s="209">
        <v>0</v>
      </c>
      <c r="L491" s="209">
        <v>-62560</v>
      </c>
      <c r="M491" s="209">
        <v>4169.91</v>
      </c>
      <c r="N491" s="242">
        <v>0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-58390.09</v>
      </c>
      <c r="H492" s="239"/>
      <c r="I492" s="239"/>
      <c r="J492" s="210">
        <v>-4169.91</v>
      </c>
      <c r="K492" s="209">
        <v>0</v>
      </c>
      <c r="L492" s="209">
        <v>-62560</v>
      </c>
      <c r="M492" s="209">
        <v>4169.91</v>
      </c>
      <c r="N492" s="242">
        <v>0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-58390.09</v>
      </c>
      <c r="H493" s="239"/>
      <c r="I493" s="239"/>
      <c r="J493" s="210">
        <v>-4169.91</v>
      </c>
      <c r="K493" s="209">
        <v>0</v>
      </c>
      <c r="L493" s="209">
        <v>-62560</v>
      </c>
      <c r="M493" s="209">
        <v>4169.91</v>
      </c>
      <c r="N493" s="242">
        <v>0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-58390.09</v>
      </c>
      <c r="H494" s="239"/>
      <c r="I494" s="239"/>
      <c r="J494" s="210">
        <v>-4169.91</v>
      </c>
      <c r="K494" s="209">
        <v>0</v>
      </c>
      <c r="L494" s="209">
        <v>-62560</v>
      </c>
      <c r="M494" s="209">
        <v>4169.91</v>
      </c>
      <c r="N494" s="242">
        <v>0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-58390.09</v>
      </c>
      <c r="H495" s="239"/>
      <c r="I495" s="239"/>
      <c r="J495" s="210">
        <v>-4169.91</v>
      </c>
      <c r="K495" s="209">
        <v>0</v>
      </c>
      <c r="L495" s="209">
        <v>-62560</v>
      </c>
      <c r="M495" s="209">
        <v>4169.91</v>
      </c>
      <c r="N495" s="242">
        <v>0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-58390.09</v>
      </c>
      <c r="H496" s="239"/>
      <c r="I496" s="239"/>
      <c r="J496" s="210">
        <v>-4169.91</v>
      </c>
      <c r="K496" s="209">
        <v>0</v>
      </c>
      <c r="L496" s="209">
        <v>-62560</v>
      </c>
      <c r="M496" s="209">
        <v>4169.91</v>
      </c>
      <c r="N496" s="242">
        <v>0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-58390.09</v>
      </c>
      <c r="H497" s="239"/>
      <c r="I497" s="239"/>
      <c r="J497" s="210">
        <v>-4169.91</v>
      </c>
      <c r="K497" s="209">
        <v>0</v>
      </c>
      <c r="L497" s="209">
        <v>-62560</v>
      </c>
      <c r="M497" s="209">
        <v>4169.91</v>
      </c>
      <c r="N497" s="242">
        <v>0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-58390.09</v>
      </c>
      <c r="H498" s="239"/>
      <c r="I498" s="239"/>
      <c r="J498" s="210">
        <v>-4169.91</v>
      </c>
      <c r="K498" s="209">
        <v>0</v>
      </c>
      <c r="L498" s="209">
        <v>-62560</v>
      </c>
      <c r="M498" s="209">
        <v>4169.91</v>
      </c>
      <c r="N498" s="242">
        <v>0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-175800</v>
      </c>
      <c r="H500" s="239"/>
      <c r="I500" s="239"/>
      <c r="J500" s="210">
        <v>0</v>
      </c>
      <c r="K500" s="209">
        <v>0</v>
      </c>
      <c r="L500" s="209">
        <v>-175800</v>
      </c>
      <c r="M500" s="209">
        <v>0</v>
      </c>
      <c r="N500" s="242">
        <v>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-530798.96</v>
      </c>
      <c r="H502" s="239"/>
      <c r="I502" s="239"/>
      <c r="J502" s="210">
        <v>-39090</v>
      </c>
      <c r="K502" s="209">
        <v>0</v>
      </c>
      <c r="L502" s="209">
        <v>-569888.96</v>
      </c>
      <c r="M502" s="209">
        <v>55377.85</v>
      </c>
      <c r="N502" s="242">
        <v>16287.85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-271798.21999999997</v>
      </c>
      <c r="H503" s="239"/>
      <c r="I503" s="239"/>
      <c r="J503" s="210">
        <v>0</v>
      </c>
      <c r="K503" s="209">
        <v>0</v>
      </c>
      <c r="L503" s="209">
        <v>-271798.21999999997</v>
      </c>
      <c r="M503" s="209">
        <v>0</v>
      </c>
      <c r="N503" s="242">
        <v>0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-86764.85</v>
      </c>
      <c r="H504" s="239"/>
      <c r="I504" s="239"/>
      <c r="J504" s="210">
        <v>0</v>
      </c>
      <c r="K504" s="209">
        <v>0</v>
      </c>
      <c r="L504" s="209">
        <v>-86764.85</v>
      </c>
      <c r="M504" s="209">
        <v>0</v>
      </c>
      <c r="N504" s="242">
        <v>0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-1000000</v>
      </c>
      <c r="H505" s="239"/>
      <c r="I505" s="239"/>
      <c r="J505" s="210">
        <v>0</v>
      </c>
      <c r="K505" s="209">
        <v>0</v>
      </c>
      <c r="L505" s="209">
        <v>-1000000</v>
      </c>
      <c r="M505" s="209">
        <v>0</v>
      </c>
      <c r="N505" s="242">
        <v>0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-259436</v>
      </c>
      <c r="H507" s="239"/>
      <c r="I507" s="239"/>
      <c r="J507" s="210">
        <v>0</v>
      </c>
      <c r="K507" s="209">
        <v>0</v>
      </c>
      <c r="L507" s="209">
        <v>-259436</v>
      </c>
      <c r="M507" s="209">
        <v>0</v>
      </c>
      <c r="N507" s="242">
        <v>0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-228654</v>
      </c>
      <c r="H509" s="239"/>
      <c r="I509" s="239"/>
      <c r="J509" s="210">
        <v>0</v>
      </c>
      <c r="K509" s="209">
        <v>0</v>
      </c>
      <c r="L509" s="209">
        <v>-228654</v>
      </c>
      <c r="M509" s="209">
        <v>0</v>
      </c>
      <c r="N509" s="242">
        <v>0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-260000</v>
      </c>
      <c r="H510" s="239"/>
      <c r="I510" s="239"/>
      <c r="J510" s="210">
        <v>0</v>
      </c>
      <c r="K510" s="209">
        <v>0</v>
      </c>
      <c r="L510" s="209">
        <v>-260000</v>
      </c>
      <c r="M510" s="209">
        <v>0</v>
      </c>
      <c r="N510" s="242">
        <v>0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-142269.65</v>
      </c>
      <c r="H513" s="239"/>
      <c r="I513" s="239"/>
      <c r="J513" s="210">
        <v>0</v>
      </c>
      <c r="K513" s="209">
        <v>0</v>
      </c>
      <c r="L513" s="209">
        <v>-142269.65</v>
      </c>
      <c r="M513" s="209">
        <v>0</v>
      </c>
      <c r="N513" s="242">
        <v>0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-22820.75</v>
      </c>
      <c r="H514" s="239"/>
      <c r="I514" s="239"/>
      <c r="J514" s="210">
        <v>0</v>
      </c>
      <c r="K514" s="209">
        <v>0</v>
      </c>
      <c r="L514" s="209">
        <v>-22820.75</v>
      </c>
      <c r="M514" s="209">
        <v>0</v>
      </c>
      <c r="N514" s="242">
        <v>0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-28030.66</v>
      </c>
      <c r="H515" s="239"/>
      <c r="I515" s="239"/>
      <c r="J515" s="210">
        <v>0</v>
      </c>
      <c r="K515" s="209">
        <v>0</v>
      </c>
      <c r="L515" s="209">
        <v>-28030.66</v>
      </c>
      <c r="M515" s="209">
        <v>0</v>
      </c>
      <c r="N515" s="242">
        <v>0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-45641.36</v>
      </c>
      <c r="H516" s="239"/>
      <c r="I516" s="239"/>
      <c r="J516" s="210">
        <v>0</v>
      </c>
      <c r="K516" s="209">
        <v>0</v>
      </c>
      <c r="L516" s="209">
        <v>-45641.36</v>
      </c>
      <c r="M516" s="209">
        <v>0</v>
      </c>
      <c r="N516" s="242">
        <v>0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-58371.48</v>
      </c>
      <c r="H517" s="239"/>
      <c r="I517" s="239"/>
      <c r="J517" s="210">
        <v>-4434</v>
      </c>
      <c r="K517" s="209">
        <v>0</v>
      </c>
      <c r="L517" s="209">
        <v>-62805.48</v>
      </c>
      <c r="M517" s="209">
        <v>8128.52</v>
      </c>
      <c r="N517" s="242">
        <v>3694.52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-58371.48</v>
      </c>
      <c r="H518" s="239"/>
      <c r="I518" s="239"/>
      <c r="J518" s="210">
        <v>-4434</v>
      </c>
      <c r="K518" s="209">
        <v>0</v>
      </c>
      <c r="L518" s="209">
        <v>-62805.48</v>
      </c>
      <c r="M518" s="209">
        <v>8128.52</v>
      </c>
      <c r="N518" s="242">
        <v>3694.52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-58371.48</v>
      </c>
      <c r="H519" s="239"/>
      <c r="I519" s="239"/>
      <c r="J519" s="210">
        <v>-4434</v>
      </c>
      <c r="K519" s="209">
        <v>0</v>
      </c>
      <c r="L519" s="209">
        <v>-62805.48</v>
      </c>
      <c r="M519" s="209">
        <v>8128.52</v>
      </c>
      <c r="N519" s="242">
        <v>3694.52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-58371.48</v>
      </c>
      <c r="H520" s="239"/>
      <c r="I520" s="239"/>
      <c r="J520" s="210">
        <v>-4434</v>
      </c>
      <c r="K520" s="209">
        <v>0</v>
      </c>
      <c r="L520" s="209">
        <v>-62805.48</v>
      </c>
      <c r="M520" s="209">
        <v>8128.52</v>
      </c>
      <c r="N520" s="242">
        <v>3694.52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-58371.48</v>
      </c>
      <c r="H521" s="239"/>
      <c r="I521" s="239"/>
      <c r="J521" s="210">
        <v>-4434</v>
      </c>
      <c r="K521" s="209">
        <v>0</v>
      </c>
      <c r="L521" s="209">
        <v>-62805.48</v>
      </c>
      <c r="M521" s="209">
        <v>8128.52</v>
      </c>
      <c r="N521" s="242">
        <v>3694.52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-279138.39</v>
      </c>
      <c r="H522" s="239"/>
      <c r="I522" s="239"/>
      <c r="J522" s="210">
        <v>-21199</v>
      </c>
      <c r="K522" s="209">
        <v>0</v>
      </c>
      <c r="L522" s="209">
        <v>-300337.39</v>
      </c>
      <c r="M522" s="209">
        <v>144861.60999999999</v>
      </c>
      <c r="N522" s="242">
        <v>123662.61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-59748.959999999999</v>
      </c>
      <c r="H523" s="239"/>
      <c r="I523" s="239"/>
      <c r="J523" s="210">
        <v>-4566</v>
      </c>
      <c r="K523" s="209">
        <v>0</v>
      </c>
      <c r="L523" s="209">
        <v>-64314.96</v>
      </c>
      <c r="M523" s="209">
        <v>8751.0400000000009</v>
      </c>
      <c r="N523" s="242">
        <v>4185.04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-59748.959999999999</v>
      </c>
      <c r="H524" s="239"/>
      <c r="I524" s="239"/>
      <c r="J524" s="210">
        <v>-4566</v>
      </c>
      <c r="K524" s="209">
        <v>0</v>
      </c>
      <c r="L524" s="209">
        <v>-64314.96</v>
      </c>
      <c r="M524" s="209">
        <v>8751.0400000000009</v>
      </c>
      <c r="N524" s="242">
        <v>4185.04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-59748.959999999999</v>
      </c>
      <c r="H525" s="239"/>
      <c r="I525" s="239"/>
      <c r="J525" s="210">
        <v>-4566</v>
      </c>
      <c r="K525" s="209">
        <v>0</v>
      </c>
      <c r="L525" s="209">
        <v>-64314.96</v>
      </c>
      <c r="M525" s="209">
        <v>8751.0400000000009</v>
      </c>
      <c r="N525" s="242">
        <v>4185.04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-59748.959999999999</v>
      </c>
      <c r="H526" s="239"/>
      <c r="I526" s="239"/>
      <c r="J526" s="210">
        <v>-4566</v>
      </c>
      <c r="K526" s="209">
        <v>0</v>
      </c>
      <c r="L526" s="209">
        <v>-64314.96</v>
      </c>
      <c r="M526" s="209">
        <v>8751.0400000000009</v>
      </c>
      <c r="N526" s="242">
        <v>4185.04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-59748.959999999999</v>
      </c>
      <c r="H527" s="239"/>
      <c r="I527" s="239"/>
      <c r="J527" s="210">
        <v>-4566</v>
      </c>
      <c r="K527" s="209">
        <v>0</v>
      </c>
      <c r="L527" s="209">
        <v>-64314.96</v>
      </c>
      <c r="M527" s="209">
        <v>8751.0400000000009</v>
      </c>
      <c r="N527" s="242">
        <v>4185.04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-59748.959999999999</v>
      </c>
      <c r="H528" s="239"/>
      <c r="I528" s="239"/>
      <c r="J528" s="210">
        <v>-4566</v>
      </c>
      <c r="K528" s="209">
        <v>0</v>
      </c>
      <c r="L528" s="209">
        <v>-64314.96</v>
      </c>
      <c r="M528" s="209">
        <v>8751.0400000000009</v>
      </c>
      <c r="N528" s="242">
        <v>4185.04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-59748.959999999999</v>
      </c>
      <c r="H529" s="239"/>
      <c r="I529" s="239"/>
      <c r="J529" s="210">
        <v>-4566</v>
      </c>
      <c r="K529" s="209">
        <v>0</v>
      </c>
      <c r="L529" s="209">
        <v>-64314.96</v>
      </c>
      <c r="M529" s="209">
        <v>8751.0400000000009</v>
      </c>
      <c r="N529" s="242">
        <v>4185.04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-59748.959999999999</v>
      </c>
      <c r="H530" s="239"/>
      <c r="I530" s="239"/>
      <c r="J530" s="210">
        <v>-4566</v>
      </c>
      <c r="K530" s="209">
        <v>0</v>
      </c>
      <c r="L530" s="209">
        <v>-64314.96</v>
      </c>
      <c r="M530" s="209">
        <v>8751.0400000000009</v>
      </c>
      <c r="N530" s="242">
        <v>4185.04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-59748.959999999999</v>
      </c>
      <c r="H531" s="239"/>
      <c r="I531" s="239"/>
      <c r="J531" s="210">
        <v>-4566</v>
      </c>
      <c r="K531" s="209">
        <v>0</v>
      </c>
      <c r="L531" s="209">
        <v>-64314.96</v>
      </c>
      <c r="M531" s="209">
        <v>8751.0400000000009</v>
      </c>
      <c r="N531" s="242">
        <v>4185.04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-59748.959999999999</v>
      </c>
      <c r="H532" s="239"/>
      <c r="I532" s="239"/>
      <c r="J532" s="210">
        <v>-4566</v>
      </c>
      <c r="K532" s="209">
        <v>0</v>
      </c>
      <c r="L532" s="209">
        <v>-64314.96</v>
      </c>
      <c r="M532" s="209">
        <v>8751.0400000000009</v>
      </c>
      <c r="N532" s="242">
        <v>4185.04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-33200</v>
      </c>
      <c r="H534" s="239"/>
      <c r="I534" s="239"/>
      <c r="J534" s="210">
        <v>0</v>
      </c>
      <c r="K534" s="209">
        <v>0</v>
      </c>
      <c r="L534" s="209">
        <v>-33200</v>
      </c>
      <c r="M534" s="209">
        <v>0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-399000</v>
      </c>
      <c r="H535" s="239"/>
      <c r="I535" s="239"/>
      <c r="J535" s="210">
        <v>0</v>
      </c>
      <c r="K535" s="209">
        <v>0</v>
      </c>
      <c r="L535" s="209">
        <v>-399000</v>
      </c>
      <c r="M535" s="209">
        <v>0</v>
      </c>
      <c r="N535" s="242">
        <v>0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-25275</v>
      </c>
      <c r="H536" s="239"/>
      <c r="I536" s="239"/>
      <c r="J536" s="210">
        <v>0</v>
      </c>
      <c r="K536" s="209">
        <v>0</v>
      </c>
      <c r="L536" s="209">
        <v>-25275</v>
      </c>
      <c r="M536" s="209">
        <v>0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-78161</v>
      </c>
      <c r="H537" s="239"/>
      <c r="I537" s="239"/>
      <c r="J537" s="210">
        <v>0</v>
      </c>
      <c r="K537" s="209">
        <v>0</v>
      </c>
      <c r="L537" s="209">
        <v>-78161</v>
      </c>
      <c r="M537" s="209">
        <v>0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-78500</v>
      </c>
      <c r="H538" s="239"/>
      <c r="I538" s="239"/>
      <c r="J538" s="210">
        <v>0</v>
      </c>
      <c r="K538" s="209">
        <v>0</v>
      </c>
      <c r="L538" s="209">
        <v>-78500</v>
      </c>
      <c r="M538" s="209">
        <v>0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-159973.20000000001</v>
      </c>
      <c r="H539" s="239"/>
      <c r="I539" s="239"/>
      <c r="J539" s="210">
        <v>0</v>
      </c>
      <c r="K539" s="209">
        <v>0</v>
      </c>
      <c r="L539" s="209">
        <v>-159973.20000000001</v>
      </c>
      <c r="M539" s="209">
        <v>0</v>
      </c>
      <c r="N539" s="242">
        <v>0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-45500</v>
      </c>
      <c r="H540" s="239"/>
      <c r="I540" s="239"/>
      <c r="J540" s="210">
        <v>0</v>
      </c>
      <c r="K540" s="209">
        <v>0</v>
      </c>
      <c r="L540" s="209">
        <v>-45500</v>
      </c>
      <c r="M540" s="209">
        <v>0</v>
      </c>
      <c r="N540" s="242">
        <v>0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-75200</v>
      </c>
      <c r="H541" s="239"/>
      <c r="I541" s="239"/>
      <c r="J541" s="210">
        <v>0</v>
      </c>
      <c r="K541" s="209">
        <v>0</v>
      </c>
      <c r="L541" s="209">
        <v>-75200</v>
      </c>
      <c r="M541" s="209">
        <v>0</v>
      </c>
      <c r="N541" s="242">
        <v>0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-71100</v>
      </c>
      <c r="H542" s="239"/>
      <c r="I542" s="239"/>
      <c r="J542" s="210">
        <v>0</v>
      </c>
      <c r="K542" s="209">
        <v>0</v>
      </c>
      <c r="L542" s="209">
        <v>-71100</v>
      </c>
      <c r="M542" s="209">
        <v>0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-35550</v>
      </c>
      <c r="H543" s="239"/>
      <c r="I543" s="239"/>
      <c r="J543" s="210">
        <v>0</v>
      </c>
      <c r="K543" s="209">
        <v>0</v>
      </c>
      <c r="L543" s="209">
        <v>-35550</v>
      </c>
      <c r="M543" s="209">
        <v>0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-35550</v>
      </c>
      <c r="H544" s="239"/>
      <c r="I544" s="239"/>
      <c r="J544" s="210">
        <v>0</v>
      </c>
      <c r="K544" s="209">
        <v>0</v>
      </c>
      <c r="L544" s="209">
        <v>-35550</v>
      </c>
      <c r="M544" s="209">
        <v>0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-41400</v>
      </c>
      <c r="H545" s="239"/>
      <c r="I545" s="239"/>
      <c r="J545" s="210">
        <v>0</v>
      </c>
      <c r="K545" s="209">
        <v>0</v>
      </c>
      <c r="L545" s="209">
        <v>-41400</v>
      </c>
      <c r="M545" s="209">
        <v>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-174447</v>
      </c>
      <c r="H546" s="239"/>
      <c r="I546" s="239"/>
      <c r="J546" s="210">
        <v>0</v>
      </c>
      <c r="K546" s="209">
        <v>0</v>
      </c>
      <c r="L546" s="209">
        <v>-174447</v>
      </c>
      <c r="M546" s="209">
        <v>0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-189600</v>
      </c>
      <c r="H586" s="239"/>
      <c r="I586" s="239"/>
      <c r="J586" s="210">
        <v>0</v>
      </c>
      <c r="K586" s="209">
        <v>0</v>
      </c>
      <c r="L586" s="209">
        <v>-189600</v>
      </c>
      <c r="M586" s="209">
        <v>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-542510.68999999994</v>
      </c>
      <c r="H587" s="239"/>
      <c r="I587" s="239"/>
      <c r="J587" s="210">
        <v>0</v>
      </c>
      <c r="K587" s="209">
        <v>0</v>
      </c>
      <c r="L587" s="209">
        <v>-542510.68999999994</v>
      </c>
      <c r="M587" s="209">
        <v>0</v>
      </c>
      <c r="N587" s="242">
        <v>0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-590460.31999999995</v>
      </c>
      <c r="H588" s="239"/>
      <c r="I588" s="239"/>
      <c r="J588" s="210">
        <v>-49206</v>
      </c>
      <c r="K588" s="209">
        <v>0</v>
      </c>
      <c r="L588" s="209">
        <v>-639666.31999999995</v>
      </c>
      <c r="M588" s="209">
        <v>147618.41</v>
      </c>
      <c r="N588" s="242">
        <v>98412.41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-128215</v>
      </c>
      <c r="H589" s="239"/>
      <c r="I589" s="239"/>
      <c r="J589" s="210">
        <v>0</v>
      </c>
      <c r="K589" s="209">
        <v>0</v>
      </c>
      <c r="L589" s="209">
        <v>-128215</v>
      </c>
      <c r="M589" s="209">
        <v>0</v>
      </c>
      <c r="N589" s="242">
        <v>0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-9071.1200000000008</v>
      </c>
      <c r="H590" s="239"/>
      <c r="I590" s="239"/>
      <c r="J590" s="210">
        <v>0</v>
      </c>
      <c r="K590" s="209">
        <v>0</v>
      </c>
      <c r="L590" s="209">
        <v>-9071.1200000000008</v>
      </c>
      <c r="M590" s="209">
        <v>0</v>
      </c>
      <c r="N590" s="242">
        <v>0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-26512.98</v>
      </c>
      <c r="H591" s="239"/>
      <c r="I591" s="239"/>
      <c r="J591" s="210">
        <v>0</v>
      </c>
      <c r="K591" s="209">
        <v>0</v>
      </c>
      <c r="L591" s="209">
        <v>-26512.98</v>
      </c>
      <c r="M591" s="209">
        <v>0</v>
      </c>
      <c r="N591" s="242">
        <v>0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-65900</v>
      </c>
      <c r="H592" s="239"/>
      <c r="I592" s="239"/>
      <c r="J592" s="210">
        <v>0</v>
      </c>
      <c r="K592" s="209">
        <v>0</v>
      </c>
      <c r="L592" s="209">
        <v>-65900</v>
      </c>
      <c r="M592" s="209">
        <v>0</v>
      </c>
      <c r="N592" s="242">
        <v>0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-39502.5</v>
      </c>
      <c r="H593" s="239"/>
      <c r="I593" s="239"/>
      <c r="J593" s="210">
        <v>0</v>
      </c>
      <c r="K593" s="209">
        <v>0</v>
      </c>
      <c r="L593" s="209">
        <v>-39502.5</v>
      </c>
      <c r="M593" s="209">
        <v>0</v>
      </c>
      <c r="N593" s="242">
        <v>0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-277166</v>
      </c>
      <c r="H594" s="239"/>
      <c r="I594" s="239"/>
      <c r="J594" s="210">
        <v>0</v>
      </c>
      <c r="K594" s="209">
        <v>0</v>
      </c>
      <c r="L594" s="209">
        <v>-277166</v>
      </c>
      <c r="M594" s="209">
        <v>0</v>
      </c>
      <c r="N594" s="242">
        <v>0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-82545</v>
      </c>
      <c r="H595" s="239"/>
      <c r="I595" s="239"/>
      <c r="J595" s="210">
        <v>0</v>
      </c>
      <c r="K595" s="209">
        <v>0</v>
      </c>
      <c r="L595" s="209">
        <v>-82545</v>
      </c>
      <c r="M595" s="209">
        <v>0</v>
      </c>
      <c r="N595" s="242">
        <v>0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-587400</v>
      </c>
      <c r="H596" s="239"/>
      <c r="I596" s="239"/>
      <c r="J596" s="210">
        <v>0</v>
      </c>
      <c r="K596" s="209">
        <v>0</v>
      </c>
      <c r="L596" s="209">
        <v>-587400</v>
      </c>
      <c r="M596" s="209">
        <v>0</v>
      </c>
      <c r="N596" s="242">
        <v>0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-205400</v>
      </c>
      <c r="H597" s="239"/>
      <c r="I597" s="239"/>
      <c r="J597" s="210">
        <v>0</v>
      </c>
      <c r="K597" s="209">
        <v>0</v>
      </c>
      <c r="L597" s="209">
        <v>-205400</v>
      </c>
      <c r="M597" s="209">
        <v>0</v>
      </c>
      <c r="N597" s="242">
        <v>0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-121761</v>
      </c>
      <c r="H598" s="239"/>
      <c r="I598" s="239"/>
      <c r="J598" s="210">
        <v>-10744</v>
      </c>
      <c r="K598" s="209">
        <v>0</v>
      </c>
      <c r="L598" s="209">
        <v>-132505</v>
      </c>
      <c r="M598" s="209">
        <v>39396.5</v>
      </c>
      <c r="N598" s="242">
        <v>28652.5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-121761</v>
      </c>
      <c r="H599" s="239"/>
      <c r="I599" s="239"/>
      <c r="J599" s="210">
        <v>-10744</v>
      </c>
      <c r="K599" s="209">
        <v>0</v>
      </c>
      <c r="L599" s="209">
        <v>-132505</v>
      </c>
      <c r="M599" s="209">
        <v>39396.5</v>
      </c>
      <c r="N599" s="242">
        <v>28652.5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-121761</v>
      </c>
      <c r="H600" s="239"/>
      <c r="I600" s="239"/>
      <c r="J600" s="210">
        <v>-10744</v>
      </c>
      <c r="K600" s="209">
        <v>0</v>
      </c>
      <c r="L600" s="209">
        <v>-132505</v>
      </c>
      <c r="M600" s="209">
        <v>39396.5</v>
      </c>
      <c r="N600" s="242">
        <v>28652.5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-121761</v>
      </c>
      <c r="H601" s="239"/>
      <c r="I601" s="239"/>
      <c r="J601" s="210">
        <v>-10744</v>
      </c>
      <c r="K601" s="209">
        <v>0</v>
      </c>
      <c r="L601" s="209">
        <v>-132505</v>
      </c>
      <c r="M601" s="209">
        <v>39396.5</v>
      </c>
      <c r="N601" s="242">
        <v>28652.5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-121761</v>
      </c>
      <c r="H602" s="239"/>
      <c r="I602" s="239"/>
      <c r="J602" s="210">
        <v>-10744</v>
      </c>
      <c r="K602" s="209">
        <v>0</v>
      </c>
      <c r="L602" s="209">
        <v>-132505</v>
      </c>
      <c r="M602" s="209">
        <v>39396.5</v>
      </c>
      <c r="N602" s="242">
        <v>28652.5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-121761</v>
      </c>
      <c r="H603" s="239"/>
      <c r="I603" s="239"/>
      <c r="J603" s="210">
        <v>-10744</v>
      </c>
      <c r="K603" s="209">
        <v>0</v>
      </c>
      <c r="L603" s="209">
        <v>-132505</v>
      </c>
      <c r="M603" s="209">
        <v>39396.5</v>
      </c>
      <c r="N603" s="242">
        <v>28652.5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-121761</v>
      </c>
      <c r="H604" s="239"/>
      <c r="I604" s="239"/>
      <c r="J604" s="210">
        <v>-10744</v>
      </c>
      <c r="K604" s="209">
        <v>0</v>
      </c>
      <c r="L604" s="209">
        <v>-132505</v>
      </c>
      <c r="M604" s="209">
        <v>39396.5</v>
      </c>
      <c r="N604" s="242">
        <v>28652.5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-121761</v>
      </c>
      <c r="H605" s="239"/>
      <c r="I605" s="239"/>
      <c r="J605" s="210">
        <v>-10744</v>
      </c>
      <c r="K605" s="209">
        <v>0</v>
      </c>
      <c r="L605" s="209">
        <v>-132505</v>
      </c>
      <c r="M605" s="209">
        <v>39396.5</v>
      </c>
      <c r="N605" s="242">
        <v>28652.5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-2397324</v>
      </c>
      <c r="H606" s="239"/>
      <c r="I606" s="239"/>
      <c r="J606" s="210">
        <v>-214686</v>
      </c>
      <c r="K606" s="209">
        <v>0</v>
      </c>
      <c r="L606" s="209">
        <v>-2612010</v>
      </c>
      <c r="M606" s="209">
        <v>822963.21</v>
      </c>
      <c r="N606" s="242">
        <v>608277.21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-40696</v>
      </c>
      <c r="H607" s="239"/>
      <c r="I607" s="239"/>
      <c r="J607" s="210">
        <v>0</v>
      </c>
      <c r="K607" s="209">
        <v>0</v>
      </c>
      <c r="L607" s="209">
        <v>-40696</v>
      </c>
      <c r="M607" s="209">
        <v>0</v>
      </c>
      <c r="N607" s="242">
        <v>0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-177537.63</v>
      </c>
      <c r="H608" s="239"/>
      <c r="I608" s="239"/>
      <c r="J608" s="210">
        <v>0</v>
      </c>
      <c r="K608" s="209">
        <v>0</v>
      </c>
      <c r="L608" s="209">
        <v>-177537.63</v>
      </c>
      <c r="M608" s="209">
        <v>0</v>
      </c>
      <c r="N608" s="242">
        <v>0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-96000</v>
      </c>
      <c r="H609" s="239"/>
      <c r="I609" s="239"/>
      <c r="J609" s="210">
        <v>0</v>
      </c>
      <c r="K609" s="209">
        <v>0</v>
      </c>
      <c r="L609" s="209">
        <v>-96000</v>
      </c>
      <c r="M609" s="209">
        <v>0</v>
      </c>
      <c r="N609" s="242">
        <v>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-274600</v>
      </c>
      <c r="H610" s="239"/>
      <c r="I610" s="239"/>
      <c r="J610" s="210">
        <v>0</v>
      </c>
      <c r="K610" s="209">
        <v>0</v>
      </c>
      <c r="L610" s="209">
        <v>-274600</v>
      </c>
      <c r="M610" s="209">
        <v>0</v>
      </c>
      <c r="N610" s="242">
        <v>0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-545381</v>
      </c>
      <c r="H611" s="239"/>
      <c r="I611" s="239"/>
      <c r="J611" s="210">
        <v>0</v>
      </c>
      <c r="K611" s="209">
        <v>0</v>
      </c>
      <c r="L611" s="209">
        <v>-545381</v>
      </c>
      <c r="M611" s="209">
        <v>0</v>
      </c>
      <c r="N611" s="242">
        <v>0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-320937.43</v>
      </c>
      <c r="H612" s="239"/>
      <c r="I612" s="239"/>
      <c r="J612" s="210">
        <v>0</v>
      </c>
      <c r="K612" s="209">
        <v>0</v>
      </c>
      <c r="L612" s="209">
        <v>-320937.43</v>
      </c>
      <c r="M612" s="209">
        <v>0</v>
      </c>
      <c r="N612" s="242">
        <v>0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-325000</v>
      </c>
      <c r="H613" s="239"/>
      <c r="I613" s="239"/>
      <c r="J613" s="210">
        <v>0</v>
      </c>
      <c r="K613" s="209">
        <v>0</v>
      </c>
      <c r="L613" s="209">
        <v>-325000</v>
      </c>
      <c r="M613" s="209">
        <v>0</v>
      </c>
      <c r="N613" s="242">
        <v>0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-155000</v>
      </c>
      <c r="H614" s="239"/>
      <c r="I614" s="239"/>
      <c r="J614" s="210">
        <v>0</v>
      </c>
      <c r="K614" s="209">
        <v>0</v>
      </c>
      <c r="L614" s="209">
        <v>-155000</v>
      </c>
      <c r="M614" s="209">
        <v>0</v>
      </c>
      <c r="N614" s="242">
        <v>0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-76330.42</v>
      </c>
      <c r="H615" s="239"/>
      <c r="I615" s="239"/>
      <c r="J615" s="210">
        <v>0</v>
      </c>
      <c r="K615" s="209">
        <v>0</v>
      </c>
      <c r="L615" s="209">
        <v>-76330.42</v>
      </c>
      <c r="M615" s="209">
        <v>0</v>
      </c>
      <c r="N615" s="242">
        <v>0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-92500</v>
      </c>
      <c r="H616" s="239"/>
      <c r="I616" s="239"/>
      <c r="J616" s="210">
        <v>0</v>
      </c>
      <c r="K616" s="209">
        <v>0</v>
      </c>
      <c r="L616" s="209">
        <v>-92500</v>
      </c>
      <c r="M616" s="209">
        <v>0</v>
      </c>
      <c r="N616" s="242">
        <v>0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-126360</v>
      </c>
      <c r="H617" s="239"/>
      <c r="I617" s="239"/>
      <c r="J617" s="210">
        <v>-11488</v>
      </c>
      <c r="K617" s="209">
        <v>0</v>
      </c>
      <c r="L617" s="209">
        <v>-137848</v>
      </c>
      <c r="M617" s="209">
        <v>45951.5</v>
      </c>
      <c r="N617" s="242">
        <v>34463.5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-594864</v>
      </c>
      <c r="H618" s="239"/>
      <c r="I618" s="239"/>
      <c r="J618" s="210">
        <v>0</v>
      </c>
      <c r="K618" s="209">
        <v>0</v>
      </c>
      <c r="L618" s="209">
        <v>-594864</v>
      </c>
      <c r="M618" s="209">
        <v>0</v>
      </c>
      <c r="N618" s="242">
        <v>0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-104915</v>
      </c>
      <c r="H619" s="239"/>
      <c r="I619" s="239"/>
      <c r="J619" s="210">
        <v>0</v>
      </c>
      <c r="K619" s="209">
        <v>0</v>
      </c>
      <c r="L619" s="209">
        <v>-104915</v>
      </c>
      <c r="M619" s="209">
        <v>0</v>
      </c>
      <c r="N619" s="242">
        <v>0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-100901</v>
      </c>
      <c r="H620" s="239"/>
      <c r="I620" s="239"/>
      <c r="J620" s="210">
        <v>0</v>
      </c>
      <c r="K620" s="209">
        <v>0</v>
      </c>
      <c r="L620" s="209">
        <v>-100901</v>
      </c>
      <c r="M620" s="209">
        <v>0</v>
      </c>
      <c r="N620" s="242">
        <v>0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-385440</v>
      </c>
      <c r="H621" s="239"/>
      <c r="I621" s="239"/>
      <c r="J621" s="210">
        <v>-35040</v>
      </c>
      <c r="K621" s="209">
        <v>0</v>
      </c>
      <c r="L621" s="209">
        <v>-420480</v>
      </c>
      <c r="M621" s="209">
        <v>140160</v>
      </c>
      <c r="N621" s="242">
        <v>105120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-2712665.38</v>
      </c>
      <c r="H622" s="239"/>
      <c r="I622" s="239"/>
      <c r="J622" s="210">
        <v>0</v>
      </c>
      <c r="K622" s="209">
        <v>0</v>
      </c>
      <c r="L622" s="209">
        <v>-2712665.38</v>
      </c>
      <c r="M622" s="209">
        <v>0</v>
      </c>
      <c r="N622" s="242">
        <v>0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-203661.55</v>
      </c>
      <c r="H623" s="239"/>
      <c r="I623" s="239"/>
      <c r="J623" s="210">
        <v>0</v>
      </c>
      <c r="K623" s="209">
        <v>0</v>
      </c>
      <c r="L623" s="209">
        <v>-203661.55</v>
      </c>
      <c r="M623" s="209">
        <v>0</v>
      </c>
      <c r="N623" s="242">
        <v>0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-715855</v>
      </c>
      <c r="H624" s="239"/>
      <c r="I624" s="239"/>
      <c r="J624" s="210">
        <v>-66592</v>
      </c>
      <c r="K624" s="209">
        <v>0</v>
      </c>
      <c r="L624" s="209">
        <v>-782447</v>
      </c>
      <c r="M624" s="209">
        <v>283015.5</v>
      </c>
      <c r="N624" s="242">
        <v>216423.5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-91090</v>
      </c>
      <c r="H625" s="239"/>
      <c r="I625" s="239"/>
      <c r="J625" s="210">
        <v>0</v>
      </c>
      <c r="K625" s="209">
        <v>0</v>
      </c>
      <c r="L625" s="209">
        <v>-91090</v>
      </c>
      <c r="M625" s="209">
        <v>0</v>
      </c>
      <c r="N625" s="242">
        <v>0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-315000</v>
      </c>
      <c r="H626" s="239"/>
      <c r="I626" s="239"/>
      <c r="J626" s="210">
        <v>0</v>
      </c>
      <c r="K626" s="209">
        <v>0</v>
      </c>
      <c r="L626" s="209">
        <v>-315000</v>
      </c>
      <c r="M626" s="209">
        <v>0</v>
      </c>
      <c r="N626" s="242">
        <v>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-452529</v>
      </c>
      <c r="H627" s="239"/>
      <c r="I627" s="239"/>
      <c r="J627" s="210">
        <v>-44512</v>
      </c>
      <c r="K627" s="209">
        <v>0</v>
      </c>
      <c r="L627" s="209">
        <v>-497041</v>
      </c>
      <c r="M627" s="209">
        <v>215139</v>
      </c>
      <c r="N627" s="242">
        <v>170627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-549978</v>
      </c>
      <c r="H628" s="239"/>
      <c r="I628" s="239"/>
      <c r="J628" s="210">
        <v>-54096</v>
      </c>
      <c r="K628" s="209">
        <v>0</v>
      </c>
      <c r="L628" s="209">
        <v>-604074</v>
      </c>
      <c r="M628" s="209">
        <v>261464.7</v>
      </c>
      <c r="N628" s="242">
        <v>207368.7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-40884</v>
      </c>
      <c r="H629" s="239"/>
      <c r="I629" s="239"/>
      <c r="J629" s="210">
        <v>0</v>
      </c>
      <c r="K629" s="209">
        <v>0</v>
      </c>
      <c r="L629" s="209">
        <v>-40884</v>
      </c>
      <c r="M629" s="209">
        <v>0</v>
      </c>
      <c r="N629" s="242">
        <v>0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-33480</v>
      </c>
      <c r="H630" s="239"/>
      <c r="I630" s="239"/>
      <c r="J630" s="210">
        <v>0</v>
      </c>
      <c r="K630" s="209">
        <v>0</v>
      </c>
      <c r="L630" s="209">
        <v>-33480</v>
      </c>
      <c r="M630" s="209">
        <v>0</v>
      </c>
      <c r="N630" s="242">
        <v>0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-58648.75</v>
      </c>
      <c r="H631" s="239"/>
      <c r="I631" s="239"/>
      <c r="J631" s="210">
        <v>0</v>
      </c>
      <c r="K631" s="209">
        <v>0</v>
      </c>
      <c r="L631" s="209">
        <v>-58648.75</v>
      </c>
      <c r="M631" s="209">
        <v>0</v>
      </c>
      <c r="N631" s="242">
        <v>0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-223735</v>
      </c>
      <c r="H632" s="239"/>
      <c r="I632" s="239"/>
      <c r="J632" s="210">
        <v>-22189</v>
      </c>
      <c r="K632" s="209">
        <v>0</v>
      </c>
      <c r="L632" s="209">
        <v>-245924</v>
      </c>
      <c r="M632" s="209">
        <v>109094.6</v>
      </c>
      <c r="N632" s="242">
        <v>86905.600000000006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-1413233</v>
      </c>
      <c r="H633" s="239"/>
      <c r="I633" s="239"/>
      <c r="J633" s="210">
        <v>-140154</v>
      </c>
      <c r="K633" s="209">
        <v>0</v>
      </c>
      <c r="L633" s="209">
        <v>-1553387</v>
      </c>
      <c r="M633" s="209">
        <v>689094</v>
      </c>
      <c r="N633" s="242">
        <v>548940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-549165</v>
      </c>
      <c r="H634" s="239"/>
      <c r="I634" s="239"/>
      <c r="J634" s="210">
        <v>-54462</v>
      </c>
      <c r="K634" s="209">
        <v>0</v>
      </c>
      <c r="L634" s="209">
        <v>-603627</v>
      </c>
      <c r="M634" s="209">
        <v>267772</v>
      </c>
      <c r="N634" s="242">
        <v>213310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-342569</v>
      </c>
      <c r="H635" s="239"/>
      <c r="I635" s="239"/>
      <c r="J635" s="210">
        <v>-33974</v>
      </c>
      <c r="K635" s="209">
        <v>0</v>
      </c>
      <c r="L635" s="209">
        <v>-376543</v>
      </c>
      <c r="M635" s="209">
        <v>167039</v>
      </c>
      <c r="N635" s="242">
        <v>133065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-281672</v>
      </c>
      <c r="H636" s="239"/>
      <c r="I636" s="239"/>
      <c r="J636" s="210">
        <v>-27934</v>
      </c>
      <c r="K636" s="209">
        <v>0</v>
      </c>
      <c r="L636" s="209">
        <v>-309606</v>
      </c>
      <c r="M636" s="209">
        <v>137343.67000000001</v>
      </c>
      <c r="N636" s="242">
        <v>109409.67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-136624.75</v>
      </c>
      <c r="H637" s="239"/>
      <c r="I637" s="239"/>
      <c r="J637" s="210">
        <v>0</v>
      </c>
      <c r="K637" s="209">
        <v>0</v>
      </c>
      <c r="L637" s="209">
        <v>-136624.75</v>
      </c>
      <c r="M637" s="209">
        <v>0</v>
      </c>
      <c r="N637" s="242">
        <v>0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-323904</v>
      </c>
      <c r="H638" s="239"/>
      <c r="I638" s="239"/>
      <c r="J638" s="210">
        <v>0</v>
      </c>
      <c r="K638" s="209">
        <v>0</v>
      </c>
      <c r="L638" s="209">
        <v>-323904</v>
      </c>
      <c r="M638" s="209">
        <v>0</v>
      </c>
      <c r="N638" s="242">
        <v>0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-1313334</v>
      </c>
      <c r="H639" s="239"/>
      <c r="I639" s="239"/>
      <c r="J639" s="210">
        <v>-0.25</v>
      </c>
      <c r="K639" s="209">
        <v>0</v>
      </c>
      <c r="L639" s="209">
        <v>-1313334.25</v>
      </c>
      <c r="M639" s="209">
        <v>0.25</v>
      </c>
      <c r="N639" s="242">
        <v>0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-77414.429999999993</v>
      </c>
      <c r="H640" s="239"/>
      <c r="I640" s="239"/>
      <c r="J640" s="210">
        <v>0</v>
      </c>
      <c r="K640" s="209">
        <v>0</v>
      </c>
      <c r="L640" s="209">
        <v>-77414.429999999993</v>
      </c>
      <c r="M640" s="209">
        <v>0</v>
      </c>
      <c r="N640" s="242">
        <v>0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-277814.5</v>
      </c>
      <c r="H641" s="239"/>
      <c r="I641" s="239"/>
      <c r="J641" s="210">
        <v>0</v>
      </c>
      <c r="K641" s="209">
        <v>0</v>
      </c>
      <c r="L641" s="209">
        <v>-277814.5</v>
      </c>
      <c r="M641" s="209">
        <v>0</v>
      </c>
      <c r="N641" s="242">
        <v>0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-77531</v>
      </c>
      <c r="H642" s="239"/>
      <c r="I642" s="239"/>
      <c r="J642" s="210">
        <v>-0.18</v>
      </c>
      <c r="K642" s="209">
        <v>0</v>
      </c>
      <c r="L642" s="209">
        <v>-77531.179999999993</v>
      </c>
      <c r="M642" s="209">
        <v>0.18</v>
      </c>
      <c r="N642" s="242">
        <v>0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-38383</v>
      </c>
      <c r="H643" s="239"/>
      <c r="I643" s="239"/>
      <c r="J643" s="210">
        <v>-0.25</v>
      </c>
      <c r="K643" s="209">
        <v>0</v>
      </c>
      <c r="L643" s="209">
        <v>-38383.25</v>
      </c>
      <c r="M643" s="209">
        <v>0.25</v>
      </c>
      <c r="N643" s="242">
        <v>0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-150305.79999999999</v>
      </c>
      <c r="H644" s="239"/>
      <c r="I644" s="239"/>
      <c r="J644" s="210">
        <v>0</v>
      </c>
      <c r="K644" s="209">
        <v>0</v>
      </c>
      <c r="L644" s="209">
        <v>-150305.79999999999</v>
      </c>
      <c r="M644" s="209">
        <v>0</v>
      </c>
      <c r="N644" s="242">
        <v>0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-199000</v>
      </c>
      <c r="H645" s="239"/>
      <c r="I645" s="239"/>
      <c r="J645" s="210">
        <v>0</v>
      </c>
      <c r="K645" s="209">
        <v>0</v>
      </c>
      <c r="L645" s="209">
        <v>-199000</v>
      </c>
      <c r="M645" s="209">
        <v>0</v>
      </c>
      <c r="N645" s="242">
        <v>0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-103715.62</v>
      </c>
      <c r="H646" s="239"/>
      <c r="I646" s="239"/>
      <c r="J646" s="210">
        <v>0</v>
      </c>
      <c r="K646" s="209">
        <v>0</v>
      </c>
      <c r="L646" s="209">
        <v>-103715.62</v>
      </c>
      <c r="M646" s="209">
        <v>0</v>
      </c>
      <c r="N646" s="242">
        <v>0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-457103</v>
      </c>
      <c r="H647" s="239"/>
      <c r="I647" s="239"/>
      <c r="J647" s="210">
        <v>-11721</v>
      </c>
      <c r="K647" s="209">
        <v>0</v>
      </c>
      <c r="L647" s="209">
        <v>-468824</v>
      </c>
      <c r="M647" s="209">
        <v>11721</v>
      </c>
      <c r="N647" s="242">
        <v>0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-34808</v>
      </c>
      <c r="H648" s="239"/>
      <c r="I648" s="239"/>
      <c r="J648" s="210">
        <v>-892</v>
      </c>
      <c r="K648" s="209">
        <v>0</v>
      </c>
      <c r="L648" s="209">
        <v>-35700</v>
      </c>
      <c r="M648" s="209">
        <v>892</v>
      </c>
      <c r="N648" s="242">
        <v>0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-154440</v>
      </c>
      <c r="H649" s="239"/>
      <c r="I649" s="239"/>
      <c r="J649" s="210">
        <v>-3960</v>
      </c>
      <c r="K649" s="209">
        <v>0</v>
      </c>
      <c r="L649" s="209">
        <v>-158400</v>
      </c>
      <c r="M649" s="209">
        <v>3960</v>
      </c>
      <c r="N649" s="242">
        <v>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-97499</v>
      </c>
      <c r="H650" s="239"/>
      <c r="I650" s="239"/>
      <c r="J650" s="210">
        <v>-10000</v>
      </c>
      <c r="K650" s="209">
        <v>0</v>
      </c>
      <c r="L650" s="209">
        <v>-107499</v>
      </c>
      <c r="M650" s="209">
        <v>52501</v>
      </c>
      <c r="N650" s="242">
        <v>42501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-583778</v>
      </c>
      <c r="H651" s="239"/>
      <c r="I651" s="239"/>
      <c r="J651" s="210">
        <v>-14968.98</v>
      </c>
      <c r="K651" s="209">
        <v>0</v>
      </c>
      <c r="L651" s="209">
        <v>-598746.98</v>
      </c>
      <c r="M651" s="209">
        <v>14968.98</v>
      </c>
      <c r="N651" s="242">
        <v>0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-410128</v>
      </c>
      <c r="H652" s="239"/>
      <c r="I652" s="239"/>
      <c r="J652" s="210">
        <v>-17832</v>
      </c>
      <c r="K652" s="209">
        <v>0</v>
      </c>
      <c r="L652" s="209">
        <v>-427960</v>
      </c>
      <c r="M652" s="209">
        <v>17832</v>
      </c>
      <c r="N652" s="242">
        <v>0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-479614.85</v>
      </c>
      <c r="H653" s="239"/>
      <c r="I653" s="239"/>
      <c r="J653" s="210">
        <v>0</v>
      </c>
      <c r="K653" s="209">
        <v>0</v>
      </c>
      <c r="L653" s="209">
        <v>-479614.85</v>
      </c>
      <c r="M653" s="209">
        <v>0</v>
      </c>
      <c r="N653" s="242">
        <v>0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-265999</v>
      </c>
      <c r="H654" s="239"/>
      <c r="I654" s="239"/>
      <c r="J654" s="210">
        <v>-28000</v>
      </c>
      <c r="K654" s="209">
        <v>0</v>
      </c>
      <c r="L654" s="209">
        <v>-293999</v>
      </c>
      <c r="M654" s="209">
        <v>154001</v>
      </c>
      <c r="N654" s="242">
        <v>126001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-455449</v>
      </c>
      <c r="H655" s="239"/>
      <c r="I655" s="239"/>
      <c r="J655" s="210">
        <v>0</v>
      </c>
      <c r="K655" s="209">
        <v>0</v>
      </c>
      <c r="L655" s="209">
        <v>-455449</v>
      </c>
      <c r="M655" s="209">
        <v>0</v>
      </c>
      <c r="N655" s="242">
        <v>0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-185885</v>
      </c>
      <c r="H656" s="239"/>
      <c r="I656" s="239"/>
      <c r="J656" s="210">
        <v>0</v>
      </c>
      <c r="K656" s="209">
        <v>0</v>
      </c>
      <c r="L656" s="209">
        <v>-185885</v>
      </c>
      <c r="M656" s="209">
        <v>0</v>
      </c>
      <c r="N656" s="242">
        <v>0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-624604</v>
      </c>
      <c r="H657" s="239"/>
      <c r="I657" s="239"/>
      <c r="J657" s="210">
        <v>-50643.9</v>
      </c>
      <c r="K657" s="209">
        <v>0</v>
      </c>
      <c r="L657" s="209">
        <v>-675247.9</v>
      </c>
      <c r="M657" s="209">
        <v>50643.9</v>
      </c>
      <c r="N657" s="242">
        <v>0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-85400</v>
      </c>
      <c r="H658" s="239"/>
      <c r="I658" s="239"/>
      <c r="J658" s="210">
        <v>0</v>
      </c>
      <c r="K658" s="209">
        <v>0</v>
      </c>
      <c r="L658" s="209">
        <v>-85400</v>
      </c>
      <c r="M658" s="209">
        <v>0</v>
      </c>
      <c r="N658" s="242">
        <v>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-111218.45</v>
      </c>
      <c r="H659" s="239"/>
      <c r="I659" s="239"/>
      <c r="J659" s="210">
        <v>0</v>
      </c>
      <c r="K659" s="209">
        <v>0</v>
      </c>
      <c r="L659" s="209">
        <v>-111218.45</v>
      </c>
      <c r="M659" s="209">
        <v>0</v>
      </c>
      <c r="N659" s="242">
        <v>0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-284032</v>
      </c>
      <c r="H660" s="239"/>
      <c r="I660" s="239"/>
      <c r="J660" s="210">
        <v>-25821.21</v>
      </c>
      <c r="K660" s="209">
        <v>0</v>
      </c>
      <c r="L660" s="209">
        <v>-309853.21000000002</v>
      </c>
      <c r="M660" s="209">
        <v>25821.21</v>
      </c>
      <c r="N660" s="242">
        <v>0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-232243</v>
      </c>
      <c r="H661" s="239"/>
      <c r="I661" s="239"/>
      <c r="J661" s="210">
        <v>-21112.85</v>
      </c>
      <c r="K661" s="209">
        <v>0</v>
      </c>
      <c r="L661" s="209">
        <v>-253355.85</v>
      </c>
      <c r="M661" s="209">
        <v>21112.85</v>
      </c>
      <c r="N661" s="242">
        <v>0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-4003723.5</v>
      </c>
      <c r="H743" s="239"/>
      <c r="I743" s="239"/>
      <c r="J743" s="210">
        <v>0</v>
      </c>
      <c r="K743" s="209">
        <v>0</v>
      </c>
      <c r="L743" s="209">
        <v>-4003723.5</v>
      </c>
      <c r="M743" s="209">
        <v>0</v>
      </c>
      <c r="N743" s="242">
        <v>0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-1850609.24</v>
      </c>
      <c r="H769" s="239"/>
      <c r="I769" s="239"/>
      <c r="J769" s="210">
        <v>0</v>
      </c>
      <c r="K769" s="209">
        <v>0</v>
      </c>
      <c r="L769" s="209">
        <v>-1850609.24</v>
      </c>
      <c r="M769" s="209">
        <v>0</v>
      </c>
      <c r="N769" s="242">
        <v>0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-3009170</v>
      </c>
      <c r="H798" s="239"/>
      <c r="I798" s="239"/>
      <c r="J798" s="210">
        <v>0</v>
      </c>
      <c r="K798" s="209">
        <v>0</v>
      </c>
      <c r="L798" s="209">
        <v>-3009170</v>
      </c>
      <c r="M798" s="209">
        <v>0</v>
      </c>
      <c r="N798" s="242">
        <v>0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-836800</v>
      </c>
      <c r="H843" s="239"/>
      <c r="I843" s="239"/>
      <c r="J843" s="210">
        <v>0</v>
      </c>
      <c r="K843" s="209">
        <v>0</v>
      </c>
      <c r="L843" s="209">
        <v>-836800</v>
      </c>
      <c r="M843" s="209">
        <v>0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-51264</v>
      </c>
      <c r="H846" s="239"/>
      <c r="I846" s="239"/>
      <c r="J846" s="210">
        <v>0</v>
      </c>
      <c r="K846" s="209">
        <v>0</v>
      </c>
      <c r="L846" s="209">
        <v>-51264</v>
      </c>
      <c r="M846" s="209">
        <v>0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-432660</v>
      </c>
      <c r="H850" s="239"/>
      <c r="I850" s="239"/>
      <c r="J850" s="210">
        <v>0</v>
      </c>
      <c r="K850" s="209">
        <v>0</v>
      </c>
      <c r="L850" s="209">
        <v>-432660</v>
      </c>
      <c r="M850" s="209">
        <v>0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-8114080</v>
      </c>
      <c r="H860" s="239"/>
      <c r="I860" s="239"/>
      <c r="J860" s="210">
        <v>0</v>
      </c>
      <c r="K860" s="209">
        <v>0</v>
      </c>
      <c r="L860" s="209">
        <v>-8114080</v>
      </c>
      <c r="M860" s="209">
        <v>0</v>
      </c>
      <c r="N860" s="242">
        <v>0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-948740.88</v>
      </c>
      <c r="H861" s="239"/>
      <c r="I861" s="239"/>
      <c r="J861" s="210">
        <v>0</v>
      </c>
      <c r="K861" s="209">
        <v>0</v>
      </c>
      <c r="L861" s="209">
        <v>-948740.88</v>
      </c>
      <c r="M861" s="209">
        <v>0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-127531195.72</v>
      </c>
      <c r="H862" s="244"/>
      <c r="I862" s="244"/>
      <c r="J862" s="208">
        <v>-1494317.56</v>
      </c>
      <c r="K862" s="207">
        <v>0</v>
      </c>
      <c r="L862" s="207">
        <v>-129025513.28</v>
      </c>
      <c r="M862" s="207">
        <v>6437879.21</v>
      </c>
      <c r="N862" s="245">
        <v>4943561.6500000004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-276389522.52999997</v>
      </c>
      <c r="H871" s="239"/>
      <c r="I871" s="239"/>
      <c r="J871" s="202">
        <v>-2304363.4500000002</v>
      </c>
      <c r="K871" s="201">
        <v>0</v>
      </c>
      <c r="L871" s="201">
        <v>-278693885.98000002</v>
      </c>
      <c r="M871" s="201">
        <v>9436203.6999999993</v>
      </c>
      <c r="N871" s="253">
        <v>7131840.25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7230-1094-40E7-A6C4-A61F29A29430}">
  <dimension ref="A1:O872"/>
  <sheetViews>
    <sheetView showGridLines="0" workbookViewId="0">
      <pane ySplit="15" topLeftCell="A854" activePane="bottomLeft" state="frozen"/>
      <selection pane="bottomLeft" activeCell="M876" sqref="M876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1840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1837</v>
      </c>
      <c r="D14" s="212" t="s">
        <v>162</v>
      </c>
      <c r="E14" s="212" t="s">
        <v>163</v>
      </c>
      <c r="F14" s="212" t="s">
        <v>1841</v>
      </c>
      <c r="G14" s="251" t="s">
        <v>1838</v>
      </c>
      <c r="H14" s="239"/>
      <c r="I14" s="239"/>
      <c r="J14" s="213" t="s">
        <v>166</v>
      </c>
      <c r="K14" s="212" t="s">
        <v>167</v>
      </c>
      <c r="L14" s="212" t="s">
        <v>1842</v>
      </c>
      <c r="M14" s="212" t="s">
        <v>1839</v>
      </c>
      <c r="N14" s="251" t="s">
        <v>1843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-2290000</v>
      </c>
      <c r="H18" s="239"/>
      <c r="I18" s="239"/>
      <c r="J18" s="210">
        <v>0</v>
      </c>
      <c r="K18" s="209">
        <v>0</v>
      </c>
      <c r="L18" s="209">
        <v>-2290000</v>
      </c>
      <c r="M18" s="209">
        <v>0</v>
      </c>
      <c r="N18" s="242">
        <v>0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-929000</v>
      </c>
      <c r="H19" s="239"/>
      <c r="I19" s="239"/>
      <c r="J19" s="210">
        <v>0</v>
      </c>
      <c r="K19" s="209">
        <v>0</v>
      </c>
      <c r="L19" s="209">
        <v>-929000</v>
      </c>
      <c r="M19" s="209">
        <v>0</v>
      </c>
      <c r="N19" s="242">
        <v>0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-230000</v>
      </c>
      <c r="H20" s="239"/>
      <c r="I20" s="239"/>
      <c r="J20" s="210">
        <v>0</v>
      </c>
      <c r="K20" s="209">
        <v>0</v>
      </c>
      <c r="L20" s="209">
        <v>-230000</v>
      </c>
      <c r="M20" s="209">
        <v>0</v>
      </c>
      <c r="N20" s="242">
        <v>0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-969000</v>
      </c>
      <c r="H21" s="239"/>
      <c r="I21" s="239"/>
      <c r="J21" s="210">
        <v>0</v>
      </c>
      <c r="K21" s="209">
        <v>0</v>
      </c>
      <c r="L21" s="209">
        <v>-969000</v>
      </c>
      <c r="M21" s="209">
        <v>0</v>
      </c>
      <c r="N21" s="242">
        <v>0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-4418000</v>
      </c>
      <c r="H22" s="244"/>
      <c r="I22" s="244"/>
      <c r="J22" s="208">
        <v>0</v>
      </c>
      <c r="K22" s="207">
        <v>0</v>
      </c>
      <c r="L22" s="207">
        <v>-4418000</v>
      </c>
      <c r="M22" s="207">
        <v>0</v>
      </c>
      <c r="N22" s="245">
        <v>0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-6608400</v>
      </c>
      <c r="H36" s="239"/>
      <c r="I36" s="239"/>
      <c r="J36" s="210">
        <v>0</v>
      </c>
      <c r="K36" s="209">
        <v>0</v>
      </c>
      <c r="L36" s="209">
        <v>-6608400</v>
      </c>
      <c r="M36" s="209">
        <v>0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-7138338</v>
      </c>
      <c r="H37" s="239"/>
      <c r="I37" s="239"/>
      <c r="J37" s="210">
        <v>0</v>
      </c>
      <c r="K37" s="209">
        <v>0</v>
      </c>
      <c r="L37" s="209">
        <v>-7138338</v>
      </c>
      <c r="M37" s="209">
        <v>0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-1728820</v>
      </c>
      <c r="H38" s="239"/>
      <c r="I38" s="239"/>
      <c r="J38" s="210">
        <v>0</v>
      </c>
      <c r="K38" s="209">
        <v>0</v>
      </c>
      <c r="L38" s="209">
        <v>-1728820</v>
      </c>
      <c r="M38" s="209">
        <v>0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-1728820</v>
      </c>
      <c r="H39" s="239"/>
      <c r="I39" s="239"/>
      <c r="J39" s="210">
        <v>0</v>
      </c>
      <c r="K39" s="209">
        <v>0</v>
      </c>
      <c r="L39" s="209">
        <v>-1728820</v>
      </c>
      <c r="M39" s="209">
        <v>0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-1728820</v>
      </c>
      <c r="H40" s="239"/>
      <c r="I40" s="239"/>
      <c r="J40" s="210">
        <v>0</v>
      </c>
      <c r="K40" s="209">
        <v>0</v>
      </c>
      <c r="L40" s="209">
        <v>-1728820</v>
      </c>
      <c r="M40" s="209">
        <v>0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-985782.31</v>
      </c>
      <c r="H42" s="239"/>
      <c r="I42" s="239"/>
      <c r="J42" s="210">
        <v>0</v>
      </c>
      <c r="K42" s="209">
        <v>0</v>
      </c>
      <c r="L42" s="209">
        <v>-985782.31</v>
      </c>
      <c r="M42" s="209">
        <v>0</v>
      </c>
      <c r="N42" s="242">
        <v>0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-1567000</v>
      </c>
      <c r="H44" s="239"/>
      <c r="I44" s="239"/>
      <c r="J44" s="210">
        <v>0</v>
      </c>
      <c r="K44" s="209">
        <v>0</v>
      </c>
      <c r="L44" s="209">
        <v>-1567000</v>
      </c>
      <c r="M44" s="209">
        <v>0</v>
      </c>
      <c r="N44" s="242">
        <v>0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-1264347.94</v>
      </c>
      <c r="H45" s="239"/>
      <c r="I45" s="239"/>
      <c r="J45" s="210">
        <v>0</v>
      </c>
      <c r="K45" s="209">
        <v>0</v>
      </c>
      <c r="L45" s="209">
        <v>-1264347.94</v>
      </c>
      <c r="M45" s="209">
        <v>0</v>
      </c>
      <c r="N45" s="242">
        <v>0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-1567000</v>
      </c>
      <c r="H47" s="239"/>
      <c r="I47" s="239"/>
      <c r="J47" s="210">
        <v>0</v>
      </c>
      <c r="K47" s="209">
        <v>0</v>
      </c>
      <c r="L47" s="209">
        <v>-1567000</v>
      </c>
      <c r="M47" s="209">
        <v>0</v>
      </c>
      <c r="N47" s="242">
        <v>0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-750224</v>
      </c>
      <c r="H48" s="239"/>
      <c r="I48" s="239"/>
      <c r="J48" s="210">
        <v>0</v>
      </c>
      <c r="K48" s="209">
        <v>0</v>
      </c>
      <c r="L48" s="209">
        <v>-750224</v>
      </c>
      <c r="M48" s="209">
        <v>0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-654354</v>
      </c>
      <c r="H49" s="239"/>
      <c r="I49" s="239"/>
      <c r="J49" s="210">
        <v>0</v>
      </c>
      <c r="K49" s="209">
        <v>0</v>
      </c>
      <c r="L49" s="209">
        <v>-654354</v>
      </c>
      <c r="M49" s="209">
        <v>0</v>
      </c>
      <c r="N49" s="242">
        <v>0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-654354</v>
      </c>
      <c r="H51" s="239"/>
      <c r="I51" s="239"/>
      <c r="J51" s="210">
        <v>0</v>
      </c>
      <c r="K51" s="209">
        <v>0</v>
      </c>
      <c r="L51" s="209">
        <v>-654354</v>
      </c>
      <c r="M51" s="209">
        <v>0</v>
      </c>
      <c r="N51" s="242">
        <v>0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-654354</v>
      </c>
      <c r="H52" s="239"/>
      <c r="I52" s="239"/>
      <c r="J52" s="210">
        <v>0</v>
      </c>
      <c r="K52" s="209">
        <v>0</v>
      </c>
      <c r="L52" s="209">
        <v>-654354</v>
      </c>
      <c r="M52" s="209">
        <v>0</v>
      </c>
      <c r="N52" s="242">
        <v>0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-654354</v>
      </c>
      <c r="H53" s="239"/>
      <c r="I53" s="239"/>
      <c r="J53" s="210">
        <v>0</v>
      </c>
      <c r="K53" s="209">
        <v>0</v>
      </c>
      <c r="L53" s="209">
        <v>-654354</v>
      </c>
      <c r="M53" s="209">
        <v>0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-654354</v>
      </c>
      <c r="H54" s="239"/>
      <c r="I54" s="239"/>
      <c r="J54" s="210">
        <v>0</v>
      </c>
      <c r="K54" s="209">
        <v>0</v>
      </c>
      <c r="L54" s="209">
        <v>-654354</v>
      </c>
      <c r="M54" s="209">
        <v>0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-654354</v>
      </c>
      <c r="H59" s="239"/>
      <c r="I59" s="239"/>
      <c r="J59" s="210">
        <v>0</v>
      </c>
      <c r="K59" s="209">
        <v>0</v>
      </c>
      <c r="L59" s="209">
        <v>-654354</v>
      </c>
      <c r="M59" s="209">
        <v>0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-654354</v>
      </c>
      <c r="H62" s="239"/>
      <c r="I62" s="239"/>
      <c r="J62" s="210">
        <v>0</v>
      </c>
      <c r="K62" s="209">
        <v>0</v>
      </c>
      <c r="L62" s="209">
        <v>-654354</v>
      </c>
      <c r="M62" s="209">
        <v>0</v>
      </c>
      <c r="N62" s="242">
        <v>0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-654354</v>
      </c>
      <c r="H63" s="239"/>
      <c r="I63" s="239"/>
      <c r="J63" s="210">
        <v>0</v>
      </c>
      <c r="K63" s="209">
        <v>0</v>
      </c>
      <c r="L63" s="209">
        <v>-654354</v>
      </c>
      <c r="M63" s="209">
        <v>0</v>
      </c>
      <c r="N63" s="242">
        <v>0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-654354</v>
      </c>
      <c r="H64" s="239"/>
      <c r="I64" s="239"/>
      <c r="J64" s="210">
        <v>0</v>
      </c>
      <c r="K64" s="209">
        <v>0</v>
      </c>
      <c r="L64" s="209">
        <v>-654354</v>
      </c>
      <c r="M64" s="209">
        <v>0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-654354</v>
      </c>
      <c r="H65" s="239"/>
      <c r="I65" s="239"/>
      <c r="J65" s="210">
        <v>0</v>
      </c>
      <c r="K65" s="209">
        <v>0</v>
      </c>
      <c r="L65" s="209">
        <v>-654354</v>
      </c>
      <c r="M65" s="209">
        <v>0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-654354</v>
      </c>
      <c r="H66" s="239"/>
      <c r="I66" s="239"/>
      <c r="J66" s="210">
        <v>0</v>
      </c>
      <c r="K66" s="209">
        <v>0</v>
      </c>
      <c r="L66" s="209">
        <v>-654354</v>
      </c>
      <c r="M66" s="209">
        <v>0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-654353</v>
      </c>
      <c r="H68" s="239"/>
      <c r="I68" s="239"/>
      <c r="J68" s="210">
        <v>0</v>
      </c>
      <c r="K68" s="209">
        <v>0</v>
      </c>
      <c r="L68" s="209">
        <v>-654353</v>
      </c>
      <c r="M68" s="209">
        <v>0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-654353</v>
      </c>
      <c r="H73" s="239"/>
      <c r="I73" s="239"/>
      <c r="J73" s="210">
        <v>0</v>
      </c>
      <c r="K73" s="209">
        <v>0</v>
      </c>
      <c r="L73" s="209">
        <v>-654353</v>
      </c>
      <c r="M73" s="209">
        <v>0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-654353</v>
      </c>
      <c r="H75" s="239"/>
      <c r="I75" s="239"/>
      <c r="J75" s="210">
        <v>0</v>
      </c>
      <c r="K75" s="209">
        <v>0</v>
      </c>
      <c r="L75" s="209">
        <v>-654353</v>
      </c>
      <c r="M75" s="209">
        <v>0</v>
      </c>
      <c r="N75" s="242">
        <v>0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-654353</v>
      </c>
      <c r="H76" s="239"/>
      <c r="I76" s="239"/>
      <c r="J76" s="210">
        <v>0</v>
      </c>
      <c r="K76" s="209">
        <v>0</v>
      </c>
      <c r="L76" s="209">
        <v>-654353</v>
      </c>
      <c r="M76" s="209">
        <v>0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-654353</v>
      </c>
      <c r="H78" s="239"/>
      <c r="I78" s="239"/>
      <c r="J78" s="210">
        <v>0</v>
      </c>
      <c r="K78" s="209">
        <v>0</v>
      </c>
      <c r="L78" s="209">
        <v>-654353</v>
      </c>
      <c r="M78" s="209">
        <v>0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-654353</v>
      </c>
      <c r="H79" s="239"/>
      <c r="I79" s="239"/>
      <c r="J79" s="210">
        <v>0</v>
      </c>
      <c r="K79" s="209">
        <v>0</v>
      </c>
      <c r="L79" s="209">
        <v>-654353</v>
      </c>
      <c r="M79" s="209">
        <v>0</v>
      </c>
      <c r="N79" s="242">
        <v>0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-654353</v>
      </c>
      <c r="H80" s="239"/>
      <c r="I80" s="239"/>
      <c r="J80" s="210">
        <v>0</v>
      </c>
      <c r="K80" s="209">
        <v>0</v>
      </c>
      <c r="L80" s="209">
        <v>-654353</v>
      </c>
      <c r="M80" s="209">
        <v>0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-654353</v>
      </c>
      <c r="H82" s="239"/>
      <c r="I82" s="239"/>
      <c r="J82" s="210">
        <v>0</v>
      </c>
      <c r="K82" s="209">
        <v>0</v>
      </c>
      <c r="L82" s="209">
        <v>-654353</v>
      </c>
      <c r="M82" s="209">
        <v>0</v>
      </c>
      <c r="N82" s="242">
        <v>0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-654353</v>
      </c>
      <c r="H83" s="239"/>
      <c r="I83" s="239"/>
      <c r="J83" s="210">
        <v>0</v>
      </c>
      <c r="K83" s="209">
        <v>0</v>
      </c>
      <c r="L83" s="209">
        <v>-654353</v>
      </c>
      <c r="M83" s="209">
        <v>0</v>
      </c>
      <c r="N83" s="242">
        <v>0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-654353</v>
      </c>
      <c r="H85" s="239"/>
      <c r="I85" s="239"/>
      <c r="J85" s="210">
        <v>0</v>
      </c>
      <c r="K85" s="209">
        <v>0</v>
      </c>
      <c r="L85" s="209">
        <v>-654353</v>
      </c>
      <c r="M85" s="209">
        <v>0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-654353</v>
      </c>
      <c r="H87" s="239"/>
      <c r="I87" s="239"/>
      <c r="J87" s="210">
        <v>0</v>
      </c>
      <c r="K87" s="209">
        <v>0</v>
      </c>
      <c r="L87" s="209">
        <v>-654353</v>
      </c>
      <c r="M87" s="209">
        <v>0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-654353</v>
      </c>
      <c r="H91" s="239"/>
      <c r="I91" s="239"/>
      <c r="J91" s="210">
        <v>0</v>
      </c>
      <c r="K91" s="209">
        <v>0</v>
      </c>
      <c r="L91" s="209">
        <v>-654353</v>
      </c>
      <c r="M91" s="209">
        <v>0</v>
      </c>
      <c r="N91" s="242">
        <v>0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-654353</v>
      </c>
      <c r="H92" s="239"/>
      <c r="I92" s="239"/>
      <c r="J92" s="210">
        <v>0</v>
      </c>
      <c r="K92" s="209">
        <v>0</v>
      </c>
      <c r="L92" s="209">
        <v>-654353</v>
      </c>
      <c r="M92" s="209">
        <v>0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-654353</v>
      </c>
      <c r="H96" s="239"/>
      <c r="I96" s="239"/>
      <c r="J96" s="210">
        <v>0</v>
      </c>
      <c r="K96" s="209">
        <v>0</v>
      </c>
      <c r="L96" s="209">
        <v>-654353</v>
      </c>
      <c r="M96" s="209">
        <v>0</v>
      </c>
      <c r="N96" s="242">
        <v>0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-654353</v>
      </c>
      <c r="H97" s="239"/>
      <c r="I97" s="239"/>
      <c r="J97" s="210">
        <v>0</v>
      </c>
      <c r="K97" s="209">
        <v>0</v>
      </c>
      <c r="L97" s="209">
        <v>-654353</v>
      </c>
      <c r="M97" s="209">
        <v>0</v>
      </c>
      <c r="N97" s="242">
        <v>0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-654353</v>
      </c>
      <c r="H99" s="239"/>
      <c r="I99" s="239"/>
      <c r="J99" s="210">
        <v>0</v>
      </c>
      <c r="K99" s="209">
        <v>0</v>
      </c>
      <c r="L99" s="209">
        <v>-654353</v>
      </c>
      <c r="M99" s="209">
        <v>0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-654353</v>
      </c>
      <c r="H102" s="239"/>
      <c r="I102" s="239"/>
      <c r="J102" s="210">
        <v>0</v>
      </c>
      <c r="K102" s="209">
        <v>0</v>
      </c>
      <c r="L102" s="209">
        <v>-654353</v>
      </c>
      <c r="M102" s="209">
        <v>0</v>
      </c>
      <c r="N102" s="242">
        <v>0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-654353</v>
      </c>
      <c r="H103" s="239"/>
      <c r="I103" s="239"/>
      <c r="J103" s="210">
        <v>0</v>
      </c>
      <c r="K103" s="209">
        <v>0</v>
      </c>
      <c r="L103" s="209">
        <v>-654353</v>
      </c>
      <c r="M103" s="209">
        <v>0</v>
      </c>
      <c r="N103" s="242">
        <v>0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-1100000</v>
      </c>
      <c r="H285" s="239"/>
      <c r="I285" s="239"/>
      <c r="J285" s="210">
        <v>0</v>
      </c>
      <c r="K285" s="209">
        <v>0</v>
      </c>
      <c r="L285" s="209">
        <v>-1100000</v>
      </c>
      <c r="M285" s="209">
        <v>0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-1100000</v>
      </c>
      <c r="H286" s="239"/>
      <c r="I286" s="239"/>
      <c r="J286" s="210">
        <v>0</v>
      </c>
      <c r="K286" s="209">
        <v>0</v>
      </c>
      <c r="L286" s="209">
        <v>-1100000</v>
      </c>
      <c r="M286" s="209">
        <v>0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-109118716.79000001</v>
      </c>
      <c r="H290" s="244"/>
      <c r="I290" s="244"/>
      <c r="J290" s="208">
        <v>0</v>
      </c>
      <c r="K290" s="207">
        <v>0</v>
      </c>
      <c r="L290" s="207">
        <v>-109118716.79000001</v>
      </c>
      <c r="M290" s="207">
        <v>5.96</v>
      </c>
      <c r="N290" s="245">
        <v>5.96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-345419.72</v>
      </c>
      <c r="H294" s="239"/>
      <c r="I294" s="239"/>
      <c r="J294" s="210">
        <v>-19191</v>
      </c>
      <c r="K294" s="209">
        <v>0</v>
      </c>
      <c r="L294" s="209">
        <v>-364610.72</v>
      </c>
      <c r="M294" s="209">
        <v>38381.279999999999</v>
      </c>
      <c r="N294" s="242">
        <v>19190.28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-5708105.9400000004</v>
      </c>
      <c r="H295" s="239"/>
      <c r="I295" s="239"/>
      <c r="J295" s="210">
        <v>-317163</v>
      </c>
      <c r="K295" s="209">
        <v>0</v>
      </c>
      <c r="L295" s="209">
        <v>-6025268.9400000004</v>
      </c>
      <c r="M295" s="209">
        <v>634326.06000000006</v>
      </c>
      <c r="N295" s="242">
        <v>317163.06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-2721243</v>
      </c>
      <c r="H296" s="239"/>
      <c r="I296" s="239"/>
      <c r="J296" s="210">
        <v>0</v>
      </c>
      <c r="K296" s="209">
        <v>0</v>
      </c>
      <c r="L296" s="209">
        <v>-2721243</v>
      </c>
      <c r="M296" s="209">
        <v>0</v>
      </c>
      <c r="N296" s="242">
        <v>0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-4318238.8</v>
      </c>
      <c r="H297" s="239"/>
      <c r="I297" s="239"/>
      <c r="J297" s="210">
        <v>0</v>
      </c>
      <c r="K297" s="209">
        <v>0</v>
      </c>
      <c r="L297" s="209">
        <v>-4318238.8</v>
      </c>
      <c r="M297" s="209">
        <v>0</v>
      </c>
      <c r="N297" s="242">
        <v>0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-3729496.89</v>
      </c>
      <c r="H298" s="239"/>
      <c r="I298" s="239"/>
      <c r="J298" s="210">
        <v>-207201</v>
      </c>
      <c r="K298" s="209">
        <v>0</v>
      </c>
      <c r="L298" s="209">
        <v>-3936697.89</v>
      </c>
      <c r="M298" s="209">
        <v>414401.71</v>
      </c>
      <c r="N298" s="242">
        <v>207200.71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-632099.6</v>
      </c>
      <c r="H299" s="239"/>
      <c r="I299" s="239"/>
      <c r="J299" s="210">
        <v>0</v>
      </c>
      <c r="K299" s="209">
        <v>0</v>
      </c>
      <c r="L299" s="209">
        <v>-632099.6</v>
      </c>
      <c r="M299" s="209">
        <v>0</v>
      </c>
      <c r="N299" s="242">
        <v>0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-553136.46</v>
      </c>
      <c r="H300" s="239"/>
      <c r="I300" s="239"/>
      <c r="J300" s="210">
        <v>-32538</v>
      </c>
      <c r="K300" s="209">
        <v>0</v>
      </c>
      <c r="L300" s="209">
        <v>-585674.46</v>
      </c>
      <c r="M300" s="209">
        <v>97613.54</v>
      </c>
      <c r="N300" s="242">
        <v>65075.54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-99313.26</v>
      </c>
      <c r="H301" s="239"/>
      <c r="I301" s="239"/>
      <c r="J301" s="210">
        <v>-5981</v>
      </c>
      <c r="K301" s="209">
        <v>0</v>
      </c>
      <c r="L301" s="209">
        <v>-105294.26</v>
      </c>
      <c r="M301" s="209">
        <v>19936.740000000002</v>
      </c>
      <c r="N301" s="242">
        <v>13955.74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-2626800.14</v>
      </c>
      <c r="H302" s="239"/>
      <c r="I302" s="239"/>
      <c r="J302" s="210">
        <v>-164176</v>
      </c>
      <c r="K302" s="209">
        <v>0</v>
      </c>
      <c r="L302" s="209">
        <v>-2790976.14</v>
      </c>
      <c r="M302" s="209">
        <v>656702.86</v>
      </c>
      <c r="N302" s="242">
        <v>492526.86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-81290</v>
      </c>
      <c r="H304" s="239"/>
      <c r="I304" s="239"/>
      <c r="J304" s="210">
        <v>-6546</v>
      </c>
      <c r="K304" s="209">
        <v>0</v>
      </c>
      <c r="L304" s="209">
        <v>-87836</v>
      </c>
      <c r="M304" s="209">
        <v>16910</v>
      </c>
      <c r="N304" s="242">
        <v>10364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-1107237</v>
      </c>
      <c r="H305" s="239"/>
      <c r="I305" s="239"/>
      <c r="J305" s="210">
        <v>0</v>
      </c>
      <c r="K305" s="209">
        <v>0</v>
      </c>
      <c r="L305" s="209">
        <v>-1107237</v>
      </c>
      <c r="M305" s="209">
        <v>0</v>
      </c>
      <c r="N305" s="242">
        <v>0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-22113097.710000001</v>
      </c>
      <c r="H306" s="244"/>
      <c r="I306" s="244"/>
      <c r="J306" s="208">
        <v>-752796</v>
      </c>
      <c r="K306" s="207">
        <v>0</v>
      </c>
      <c r="L306" s="207">
        <v>-22865893.710000001</v>
      </c>
      <c r="M306" s="207">
        <v>1878272.19</v>
      </c>
      <c r="N306" s="245">
        <v>1125476.19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-253101</v>
      </c>
      <c r="H311" s="239"/>
      <c r="I311" s="239"/>
      <c r="J311" s="210">
        <v>0</v>
      </c>
      <c r="K311" s="209">
        <v>0</v>
      </c>
      <c r="L311" s="209">
        <v>-253101</v>
      </c>
      <c r="M311" s="209">
        <v>0</v>
      </c>
      <c r="N311" s="242">
        <v>0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-300510.5</v>
      </c>
      <c r="H314" s="239"/>
      <c r="I314" s="239"/>
      <c r="J314" s="210">
        <v>0</v>
      </c>
      <c r="K314" s="209">
        <v>0</v>
      </c>
      <c r="L314" s="209">
        <v>-300510.5</v>
      </c>
      <c r="M314" s="209">
        <v>0</v>
      </c>
      <c r="N314" s="242">
        <v>0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-911136.8</v>
      </c>
      <c r="H315" s="239"/>
      <c r="I315" s="239"/>
      <c r="J315" s="210">
        <v>0</v>
      </c>
      <c r="K315" s="209">
        <v>0</v>
      </c>
      <c r="L315" s="209">
        <v>-911136.8</v>
      </c>
      <c r="M315" s="209">
        <v>0</v>
      </c>
      <c r="N315" s="242">
        <v>0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-14018558.199999999</v>
      </c>
      <c r="H316" s="244"/>
      <c r="I316" s="244"/>
      <c r="J316" s="208">
        <v>0</v>
      </c>
      <c r="K316" s="207">
        <v>0</v>
      </c>
      <c r="L316" s="207">
        <v>-14018558.199999999</v>
      </c>
      <c r="M316" s="207">
        <v>0.45</v>
      </c>
      <c r="N316" s="245">
        <v>0.45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-313654</v>
      </c>
      <c r="H334" s="239"/>
      <c r="I334" s="239"/>
      <c r="J334" s="210">
        <v>0</v>
      </c>
      <c r="K334" s="209">
        <v>0</v>
      </c>
      <c r="L334" s="209">
        <v>-313654</v>
      </c>
      <c r="M334" s="209">
        <v>0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-1244337</v>
      </c>
      <c r="H335" s="239"/>
      <c r="I335" s="239"/>
      <c r="J335" s="210">
        <v>0</v>
      </c>
      <c r="K335" s="209">
        <v>0</v>
      </c>
      <c r="L335" s="209">
        <v>-1244337</v>
      </c>
      <c r="M335" s="209">
        <v>0</v>
      </c>
      <c r="N335" s="242">
        <v>0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-1059450</v>
      </c>
      <c r="H341" s="239"/>
      <c r="I341" s="239"/>
      <c r="J341" s="210">
        <v>0</v>
      </c>
      <c r="K341" s="209">
        <v>0</v>
      </c>
      <c r="L341" s="209">
        <v>-1059450</v>
      </c>
      <c r="M341" s="209">
        <v>0</v>
      </c>
      <c r="N341" s="242">
        <v>0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-239476.04</v>
      </c>
      <c r="H342" s="239"/>
      <c r="I342" s="239"/>
      <c r="J342" s="210">
        <v>-13245</v>
      </c>
      <c r="K342" s="209">
        <v>0</v>
      </c>
      <c r="L342" s="209">
        <v>-252721.04</v>
      </c>
      <c r="M342" s="209">
        <v>25386.959999999999</v>
      </c>
      <c r="N342" s="242">
        <v>12141.96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-949602</v>
      </c>
      <c r="H353" s="239"/>
      <c r="I353" s="239"/>
      <c r="J353" s="210">
        <v>0</v>
      </c>
      <c r="K353" s="209">
        <v>0</v>
      </c>
      <c r="L353" s="209">
        <v>-949602</v>
      </c>
      <c r="M353" s="209">
        <v>0</v>
      </c>
      <c r="N353" s="242">
        <v>0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-405588.13</v>
      </c>
      <c r="H354" s="239"/>
      <c r="I354" s="239"/>
      <c r="J354" s="210">
        <v>-21044.87</v>
      </c>
      <c r="K354" s="209">
        <v>0</v>
      </c>
      <c r="L354" s="209">
        <v>-426633</v>
      </c>
      <c r="M354" s="209">
        <v>21044.87</v>
      </c>
      <c r="N354" s="242">
        <v>0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-80000</v>
      </c>
      <c r="H357" s="239"/>
      <c r="I357" s="239"/>
      <c r="J357" s="210">
        <v>0</v>
      </c>
      <c r="K357" s="209">
        <v>0</v>
      </c>
      <c r="L357" s="209">
        <v>-80000</v>
      </c>
      <c r="M357" s="209">
        <v>0</v>
      </c>
      <c r="N357" s="242">
        <v>0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-77000</v>
      </c>
      <c r="H358" s="239"/>
      <c r="I358" s="239"/>
      <c r="J358" s="210">
        <v>0</v>
      </c>
      <c r="K358" s="209">
        <v>0</v>
      </c>
      <c r="L358" s="209">
        <v>-77000</v>
      </c>
      <c r="M358" s="209">
        <v>0</v>
      </c>
      <c r="N358" s="242">
        <v>0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-36712</v>
      </c>
      <c r="H359" s="239"/>
      <c r="I359" s="239"/>
      <c r="J359" s="210">
        <v>0</v>
      </c>
      <c r="K359" s="209">
        <v>0</v>
      </c>
      <c r="L359" s="209">
        <v>-36712</v>
      </c>
      <c r="M359" s="209">
        <v>0</v>
      </c>
      <c r="N359" s="242">
        <v>0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-24000</v>
      </c>
      <c r="H362" s="239"/>
      <c r="I362" s="239"/>
      <c r="J362" s="210">
        <v>0</v>
      </c>
      <c r="K362" s="209">
        <v>0</v>
      </c>
      <c r="L362" s="209">
        <v>-24000</v>
      </c>
      <c r="M362" s="209">
        <v>0</v>
      </c>
      <c r="N362" s="242">
        <v>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-3722130</v>
      </c>
      <c r="H365" s="239"/>
      <c r="I365" s="239"/>
      <c r="J365" s="210">
        <v>0</v>
      </c>
      <c r="K365" s="209">
        <v>0</v>
      </c>
      <c r="L365" s="209">
        <v>-3722130</v>
      </c>
      <c r="M365" s="209">
        <v>0</v>
      </c>
      <c r="N365" s="242">
        <v>0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-1953101</v>
      </c>
      <c r="H366" s="239"/>
      <c r="I366" s="239"/>
      <c r="J366" s="210">
        <v>0</v>
      </c>
      <c r="K366" s="209">
        <v>0</v>
      </c>
      <c r="L366" s="209">
        <v>-1953101</v>
      </c>
      <c r="M366" s="209">
        <v>0</v>
      </c>
      <c r="N366" s="242">
        <v>0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-897972</v>
      </c>
      <c r="H367" s="239"/>
      <c r="I367" s="239"/>
      <c r="J367" s="210">
        <v>0</v>
      </c>
      <c r="K367" s="209">
        <v>0</v>
      </c>
      <c r="L367" s="209">
        <v>-897972</v>
      </c>
      <c r="M367" s="209">
        <v>0</v>
      </c>
      <c r="N367" s="242">
        <v>0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-942422</v>
      </c>
      <c r="H368" s="239"/>
      <c r="I368" s="239"/>
      <c r="J368" s="210">
        <v>0</v>
      </c>
      <c r="K368" s="209">
        <v>0</v>
      </c>
      <c r="L368" s="209">
        <v>-942422</v>
      </c>
      <c r="M368" s="209">
        <v>0</v>
      </c>
      <c r="N368" s="242">
        <v>0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-489206</v>
      </c>
      <c r="H369" s="239"/>
      <c r="I369" s="239"/>
      <c r="J369" s="210">
        <v>0</v>
      </c>
      <c r="K369" s="209">
        <v>0</v>
      </c>
      <c r="L369" s="209">
        <v>-489206</v>
      </c>
      <c r="M369" s="209">
        <v>0</v>
      </c>
      <c r="N369" s="242">
        <v>0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-1188232.2</v>
      </c>
      <c r="H370" s="239"/>
      <c r="I370" s="239"/>
      <c r="J370" s="210">
        <v>-68550</v>
      </c>
      <c r="K370" s="209">
        <v>0</v>
      </c>
      <c r="L370" s="209">
        <v>-1256782.2</v>
      </c>
      <c r="M370" s="209">
        <v>182801.8</v>
      </c>
      <c r="N370" s="242">
        <v>114251.8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-2550415</v>
      </c>
      <c r="H371" s="239"/>
      <c r="I371" s="239"/>
      <c r="J371" s="210">
        <v>0</v>
      </c>
      <c r="K371" s="209">
        <v>0</v>
      </c>
      <c r="L371" s="209">
        <v>-2550415</v>
      </c>
      <c r="M371" s="209">
        <v>0</v>
      </c>
      <c r="N371" s="242">
        <v>0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-769360.65</v>
      </c>
      <c r="H372" s="239"/>
      <c r="I372" s="239"/>
      <c r="J372" s="210">
        <v>-44385</v>
      </c>
      <c r="K372" s="209">
        <v>0</v>
      </c>
      <c r="L372" s="209">
        <v>-813745.65</v>
      </c>
      <c r="M372" s="209">
        <v>562219.35</v>
      </c>
      <c r="N372" s="242">
        <v>517834.35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-811301</v>
      </c>
      <c r="H373" s="239"/>
      <c r="I373" s="239"/>
      <c r="J373" s="210">
        <v>0</v>
      </c>
      <c r="K373" s="209">
        <v>0</v>
      </c>
      <c r="L373" s="209">
        <v>-811301</v>
      </c>
      <c r="M373" s="209">
        <v>0</v>
      </c>
      <c r="N373" s="242">
        <v>0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-79700</v>
      </c>
      <c r="H375" s="239"/>
      <c r="I375" s="239"/>
      <c r="J375" s="210">
        <v>0</v>
      </c>
      <c r="K375" s="209">
        <v>0</v>
      </c>
      <c r="L375" s="209">
        <v>-79700</v>
      </c>
      <c r="M375" s="209">
        <v>0</v>
      </c>
      <c r="N375" s="242">
        <v>0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-90830</v>
      </c>
      <c r="H377" s="239"/>
      <c r="I377" s="239"/>
      <c r="J377" s="210">
        <v>0</v>
      </c>
      <c r="K377" s="209">
        <v>0</v>
      </c>
      <c r="L377" s="209">
        <v>-90830</v>
      </c>
      <c r="M377" s="209">
        <v>0</v>
      </c>
      <c r="N377" s="242">
        <v>0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-91450</v>
      </c>
      <c r="H383" s="239"/>
      <c r="I383" s="239"/>
      <c r="J383" s="210">
        <v>0</v>
      </c>
      <c r="K383" s="209">
        <v>0</v>
      </c>
      <c r="L383" s="209">
        <v>-91450</v>
      </c>
      <c r="M383" s="209">
        <v>0</v>
      </c>
      <c r="N383" s="242">
        <v>0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-194385.55</v>
      </c>
      <c r="H384" s="239"/>
      <c r="I384" s="239"/>
      <c r="J384" s="210">
        <v>0</v>
      </c>
      <c r="K384" s="209">
        <v>0</v>
      </c>
      <c r="L384" s="209">
        <v>-194385.55</v>
      </c>
      <c r="M384" s="209">
        <v>0</v>
      </c>
      <c r="N384" s="242">
        <v>0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-125000</v>
      </c>
      <c r="H385" s="239"/>
      <c r="I385" s="239"/>
      <c r="J385" s="210">
        <v>0</v>
      </c>
      <c r="K385" s="209">
        <v>0</v>
      </c>
      <c r="L385" s="209">
        <v>-125000</v>
      </c>
      <c r="M385" s="209">
        <v>0</v>
      </c>
      <c r="N385" s="242">
        <v>0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-303679.23</v>
      </c>
      <c r="H387" s="239"/>
      <c r="I387" s="239"/>
      <c r="J387" s="210">
        <v>0</v>
      </c>
      <c r="K387" s="209">
        <v>0</v>
      </c>
      <c r="L387" s="209">
        <v>-303679.23</v>
      </c>
      <c r="M387" s="209">
        <v>0</v>
      </c>
      <c r="N387" s="242">
        <v>0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-1005105</v>
      </c>
      <c r="H388" s="239"/>
      <c r="I388" s="239"/>
      <c r="J388" s="210">
        <v>0</v>
      </c>
      <c r="K388" s="209">
        <v>0</v>
      </c>
      <c r="L388" s="209">
        <v>-1005105</v>
      </c>
      <c r="M388" s="209">
        <v>0</v>
      </c>
      <c r="N388" s="242">
        <v>0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-51000</v>
      </c>
      <c r="H389" s="239"/>
      <c r="I389" s="239"/>
      <c r="J389" s="210">
        <v>0</v>
      </c>
      <c r="K389" s="209">
        <v>0</v>
      </c>
      <c r="L389" s="209">
        <v>-51000</v>
      </c>
      <c r="M389" s="209">
        <v>0</v>
      </c>
      <c r="N389" s="242">
        <v>0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-62564</v>
      </c>
      <c r="H390" s="239"/>
      <c r="I390" s="239"/>
      <c r="J390" s="210">
        <v>0</v>
      </c>
      <c r="K390" s="209">
        <v>0</v>
      </c>
      <c r="L390" s="209">
        <v>-62564</v>
      </c>
      <c r="M390" s="209">
        <v>0</v>
      </c>
      <c r="N390" s="242">
        <v>0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-386739</v>
      </c>
      <c r="H391" s="239"/>
      <c r="I391" s="239"/>
      <c r="J391" s="210">
        <v>0</v>
      </c>
      <c r="K391" s="209">
        <v>0</v>
      </c>
      <c r="L391" s="209">
        <v>-386739</v>
      </c>
      <c r="M391" s="209">
        <v>0</v>
      </c>
      <c r="N391" s="242">
        <v>0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-308440.56</v>
      </c>
      <c r="H392" s="239"/>
      <c r="I392" s="239"/>
      <c r="J392" s="210">
        <v>-18143</v>
      </c>
      <c r="K392" s="209">
        <v>0</v>
      </c>
      <c r="L392" s="209">
        <v>-326583.56</v>
      </c>
      <c r="M392" s="209">
        <v>235858.3</v>
      </c>
      <c r="N392" s="242">
        <v>217715.3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-685164.34</v>
      </c>
      <c r="H393" s="239"/>
      <c r="I393" s="239"/>
      <c r="J393" s="210">
        <v>0</v>
      </c>
      <c r="K393" s="209">
        <v>0</v>
      </c>
      <c r="L393" s="209">
        <v>-685164.34</v>
      </c>
      <c r="M393" s="209">
        <v>0</v>
      </c>
      <c r="N393" s="242">
        <v>0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-1023590.3</v>
      </c>
      <c r="H394" s="239"/>
      <c r="I394" s="239"/>
      <c r="J394" s="210">
        <v>0</v>
      </c>
      <c r="K394" s="209">
        <v>0</v>
      </c>
      <c r="L394" s="209">
        <v>-1023590.3</v>
      </c>
      <c r="M394" s="209">
        <v>0</v>
      </c>
      <c r="N394" s="242">
        <v>0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-1857042.34</v>
      </c>
      <c r="H395" s="239"/>
      <c r="I395" s="239"/>
      <c r="J395" s="210">
        <v>0</v>
      </c>
      <c r="K395" s="209">
        <v>0</v>
      </c>
      <c r="L395" s="209">
        <v>-1857042.34</v>
      </c>
      <c r="M395" s="209">
        <v>0</v>
      </c>
      <c r="N395" s="242">
        <v>0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-740398.44</v>
      </c>
      <c r="H396" s="239"/>
      <c r="I396" s="239"/>
      <c r="J396" s="210">
        <v>-43554</v>
      </c>
      <c r="K396" s="209">
        <v>0</v>
      </c>
      <c r="L396" s="209">
        <v>-783952.44</v>
      </c>
      <c r="M396" s="209">
        <v>566200.56000000006</v>
      </c>
      <c r="N396" s="242">
        <v>522646.56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-128100</v>
      </c>
      <c r="H400" s="239"/>
      <c r="I400" s="239"/>
      <c r="J400" s="210">
        <v>0</v>
      </c>
      <c r="K400" s="209">
        <v>0</v>
      </c>
      <c r="L400" s="209">
        <v>-128100</v>
      </c>
      <c r="M400" s="209">
        <v>0</v>
      </c>
      <c r="N400" s="242">
        <v>0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-60000</v>
      </c>
      <c r="H402" s="239"/>
      <c r="I402" s="239"/>
      <c r="J402" s="210">
        <v>0</v>
      </c>
      <c r="K402" s="209">
        <v>0</v>
      </c>
      <c r="L402" s="209">
        <v>-60000</v>
      </c>
      <c r="M402" s="209">
        <v>0</v>
      </c>
      <c r="N402" s="242">
        <v>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-46624</v>
      </c>
      <c r="H403" s="239"/>
      <c r="I403" s="239"/>
      <c r="J403" s="210">
        <v>0</v>
      </c>
      <c r="K403" s="209">
        <v>0</v>
      </c>
      <c r="L403" s="209">
        <v>-46624</v>
      </c>
      <c r="M403" s="209">
        <v>0</v>
      </c>
      <c r="N403" s="242">
        <v>0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-479864.37</v>
      </c>
      <c r="H406" s="239"/>
      <c r="I406" s="239"/>
      <c r="J406" s="210">
        <v>-28938</v>
      </c>
      <c r="K406" s="209">
        <v>0</v>
      </c>
      <c r="L406" s="209">
        <v>-508802.37</v>
      </c>
      <c r="M406" s="209">
        <v>98870.63</v>
      </c>
      <c r="N406" s="242">
        <v>69932.63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-762900</v>
      </c>
      <c r="H407" s="239"/>
      <c r="I407" s="239"/>
      <c r="J407" s="210">
        <v>0</v>
      </c>
      <c r="K407" s="209">
        <v>0</v>
      </c>
      <c r="L407" s="209">
        <v>-762900</v>
      </c>
      <c r="M407" s="209">
        <v>0</v>
      </c>
      <c r="N407" s="242">
        <v>0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-43000</v>
      </c>
      <c r="H415" s="239"/>
      <c r="I415" s="239"/>
      <c r="J415" s="210">
        <v>0</v>
      </c>
      <c r="K415" s="209">
        <v>0</v>
      </c>
      <c r="L415" s="209">
        <v>-43000</v>
      </c>
      <c r="M415" s="209">
        <v>0</v>
      </c>
      <c r="N415" s="242">
        <v>0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-140500</v>
      </c>
      <c r="H417" s="239"/>
      <c r="I417" s="239"/>
      <c r="J417" s="210">
        <v>0</v>
      </c>
      <c r="K417" s="209">
        <v>0</v>
      </c>
      <c r="L417" s="209">
        <v>-140500</v>
      </c>
      <c r="M417" s="209">
        <v>0</v>
      </c>
      <c r="N417" s="242">
        <v>0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-403532.49</v>
      </c>
      <c r="H418" s="239"/>
      <c r="I418" s="239"/>
      <c r="J418" s="210">
        <v>0</v>
      </c>
      <c r="K418" s="209">
        <v>0</v>
      </c>
      <c r="L418" s="209">
        <v>-403532.49</v>
      </c>
      <c r="M418" s="209">
        <v>0</v>
      </c>
      <c r="N418" s="242">
        <v>0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-163826.99</v>
      </c>
      <c r="H420" s="239"/>
      <c r="I420" s="239"/>
      <c r="J420" s="210">
        <v>-10031</v>
      </c>
      <c r="K420" s="209">
        <v>0</v>
      </c>
      <c r="L420" s="209">
        <v>-173857.99</v>
      </c>
      <c r="M420" s="209">
        <v>36781.01</v>
      </c>
      <c r="N420" s="242">
        <v>26750.01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-250000</v>
      </c>
      <c r="H423" s="239"/>
      <c r="I423" s="239"/>
      <c r="J423" s="210">
        <v>0</v>
      </c>
      <c r="K423" s="209">
        <v>0</v>
      </c>
      <c r="L423" s="209">
        <v>-250000</v>
      </c>
      <c r="M423" s="209">
        <v>0</v>
      </c>
      <c r="N423" s="242">
        <v>0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-205000</v>
      </c>
      <c r="H424" s="239"/>
      <c r="I424" s="239"/>
      <c r="J424" s="210">
        <v>0</v>
      </c>
      <c r="K424" s="209">
        <v>0</v>
      </c>
      <c r="L424" s="209">
        <v>-205000</v>
      </c>
      <c r="M424" s="209">
        <v>0</v>
      </c>
      <c r="N424" s="242">
        <v>0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-56474.5</v>
      </c>
      <c r="H426" s="239"/>
      <c r="I426" s="239"/>
      <c r="J426" s="210">
        <v>0</v>
      </c>
      <c r="K426" s="209">
        <v>0</v>
      </c>
      <c r="L426" s="209">
        <v>-56474.5</v>
      </c>
      <c r="M426" s="209">
        <v>0</v>
      </c>
      <c r="N426" s="242">
        <v>0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-184087</v>
      </c>
      <c r="H427" s="239"/>
      <c r="I427" s="239"/>
      <c r="J427" s="210">
        <v>0</v>
      </c>
      <c r="K427" s="209">
        <v>0</v>
      </c>
      <c r="L427" s="209">
        <v>-184087</v>
      </c>
      <c r="M427" s="209">
        <v>0</v>
      </c>
      <c r="N427" s="242">
        <v>0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-82085</v>
      </c>
      <c r="H428" s="239"/>
      <c r="I428" s="239"/>
      <c r="J428" s="210">
        <v>0</v>
      </c>
      <c r="K428" s="209">
        <v>0</v>
      </c>
      <c r="L428" s="209">
        <v>-82085</v>
      </c>
      <c r="M428" s="209">
        <v>0</v>
      </c>
      <c r="N428" s="242">
        <v>0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-30500</v>
      </c>
      <c r="H429" s="239"/>
      <c r="I429" s="239"/>
      <c r="J429" s="210">
        <v>0</v>
      </c>
      <c r="K429" s="209">
        <v>0</v>
      </c>
      <c r="L429" s="209">
        <v>-30500</v>
      </c>
      <c r="M429" s="209">
        <v>0</v>
      </c>
      <c r="N429" s="242">
        <v>0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-110000</v>
      </c>
      <c r="H430" s="239"/>
      <c r="I430" s="239"/>
      <c r="J430" s="210">
        <v>0</v>
      </c>
      <c r="K430" s="209">
        <v>0</v>
      </c>
      <c r="L430" s="209">
        <v>-110000</v>
      </c>
      <c r="M430" s="209">
        <v>0</v>
      </c>
      <c r="N430" s="242">
        <v>0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-46500</v>
      </c>
      <c r="H431" s="239"/>
      <c r="I431" s="239"/>
      <c r="J431" s="210">
        <v>0</v>
      </c>
      <c r="K431" s="209">
        <v>0</v>
      </c>
      <c r="L431" s="209">
        <v>-46500</v>
      </c>
      <c r="M431" s="209">
        <v>0</v>
      </c>
      <c r="N431" s="242">
        <v>0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-150489</v>
      </c>
      <c r="H432" s="239"/>
      <c r="I432" s="239"/>
      <c r="J432" s="210">
        <v>0</v>
      </c>
      <c r="K432" s="209">
        <v>0</v>
      </c>
      <c r="L432" s="209">
        <v>-150489</v>
      </c>
      <c r="M432" s="209">
        <v>0</v>
      </c>
      <c r="N432" s="242">
        <v>0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-724516</v>
      </c>
      <c r="H433" s="239"/>
      <c r="I433" s="239"/>
      <c r="J433" s="210">
        <v>0</v>
      </c>
      <c r="K433" s="209">
        <v>0</v>
      </c>
      <c r="L433" s="209">
        <v>-724516</v>
      </c>
      <c r="M433" s="209">
        <v>0</v>
      </c>
      <c r="N433" s="242">
        <v>0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-300088</v>
      </c>
      <c r="H435" s="239"/>
      <c r="I435" s="239"/>
      <c r="J435" s="210">
        <v>0</v>
      </c>
      <c r="K435" s="209">
        <v>0</v>
      </c>
      <c r="L435" s="209">
        <v>-300088</v>
      </c>
      <c r="M435" s="209">
        <v>0</v>
      </c>
      <c r="N435" s="242">
        <v>0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-66500</v>
      </c>
      <c r="H436" s="239"/>
      <c r="I436" s="239"/>
      <c r="J436" s="210">
        <v>0</v>
      </c>
      <c r="K436" s="209">
        <v>0</v>
      </c>
      <c r="L436" s="209">
        <v>-66500</v>
      </c>
      <c r="M436" s="209">
        <v>0</v>
      </c>
      <c r="N436" s="242">
        <v>0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-66500</v>
      </c>
      <c r="H437" s="239"/>
      <c r="I437" s="239"/>
      <c r="J437" s="210">
        <v>0</v>
      </c>
      <c r="K437" s="209">
        <v>0</v>
      </c>
      <c r="L437" s="209">
        <v>-66500</v>
      </c>
      <c r="M437" s="209">
        <v>0</v>
      </c>
      <c r="N437" s="242">
        <v>0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-66500</v>
      </c>
      <c r="H438" s="239"/>
      <c r="I438" s="239"/>
      <c r="J438" s="210">
        <v>0</v>
      </c>
      <c r="K438" s="209">
        <v>0</v>
      </c>
      <c r="L438" s="209">
        <v>-66500</v>
      </c>
      <c r="M438" s="209">
        <v>0</v>
      </c>
      <c r="N438" s="242">
        <v>0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-66500</v>
      </c>
      <c r="H439" s="239"/>
      <c r="I439" s="239"/>
      <c r="J439" s="210">
        <v>0</v>
      </c>
      <c r="K439" s="209">
        <v>0</v>
      </c>
      <c r="L439" s="209">
        <v>-66500</v>
      </c>
      <c r="M439" s="209">
        <v>0</v>
      </c>
      <c r="N439" s="242">
        <v>0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-66500</v>
      </c>
      <c r="H440" s="239"/>
      <c r="I440" s="239"/>
      <c r="J440" s="210">
        <v>0</v>
      </c>
      <c r="K440" s="209">
        <v>0</v>
      </c>
      <c r="L440" s="209">
        <v>-66500</v>
      </c>
      <c r="M440" s="209">
        <v>0</v>
      </c>
      <c r="N440" s="242">
        <v>0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-66500</v>
      </c>
      <c r="H441" s="239"/>
      <c r="I441" s="239"/>
      <c r="J441" s="210">
        <v>0</v>
      </c>
      <c r="K441" s="209">
        <v>0</v>
      </c>
      <c r="L441" s="209">
        <v>-66500</v>
      </c>
      <c r="M441" s="209">
        <v>0</v>
      </c>
      <c r="N441" s="242">
        <v>0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-66500</v>
      </c>
      <c r="H442" s="239"/>
      <c r="I442" s="239"/>
      <c r="J442" s="210">
        <v>0</v>
      </c>
      <c r="K442" s="209">
        <v>0</v>
      </c>
      <c r="L442" s="209">
        <v>-66500</v>
      </c>
      <c r="M442" s="209">
        <v>0</v>
      </c>
      <c r="N442" s="242">
        <v>0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-66500</v>
      </c>
      <c r="H443" s="239"/>
      <c r="I443" s="239"/>
      <c r="J443" s="210">
        <v>0</v>
      </c>
      <c r="K443" s="209">
        <v>0</v>
      </c>
      <c r="L443" s="209">
        <v>-66500</v>
      </c>
      <c r="M443" s="209">
        <v>0</v>
      </c>
      <c r="N443" s="242">
        <v>0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-336276.55</v>
      </c>
      <c r="H444" s="239"/>
      <c r="I444" s="239"/>
      <c r="J444" s="210">
        <v>-21018</v>
      </c>
      <c r="K444" s="209">
        <v>0</v>
      </c>
      <c r="L444" s="209">
        <v>-357294.55</v>
      </c>
      <c r="M444" s="209">
        <v>84072.45</v>
      </c>
      <c r="N444" s="242">
        <v>63054.45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-68000</v>
      </c>
      <c r="H447" s="239"/>
      <c r="I447" s="239"/>
      <c r="J447" s="210">
        <v>0</v>
      </c>
      <c r="K447" s="209">
        <v>0</v>
      </c>
      <c r="L447" s="209">
        <v>-68000</v>
      </c>
      <c r="M447" s="209">
        <v>0</v>
      </c>
      <c r="N447" s="242">
        <v>0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-175100</v>
      </c>
      <c r="H450" s="239"/>
      <c r="I450" s="239"/>
      <c r="J450" s="210">
        <v>0</v>
      </c>
      <c r="K450" s="209">
        <v>0</v>
      </c>
      <c r="L450" s="209">
        <v>-175100</v>
      </c>
      <c r="M450" s="209">
        <v>0</v>
      </c>
      <c r="N450" s="242">
        <v>0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-75350</v>
      </c>
      <c r="H465" s="239"/>
      <c r="I465" s="239"/>
      <c r="J465" s="210">
        <v>0</v>
      </c>
      <c r="K465" s="209">
        <v>0</v>
      </c>
      <c r="L465" s="209">
        <v>-75350</v>
      </c>
      <c r="M465" s="209">
        <v>0</v>
      </c>
      <c r="N465" s="242">
        <v>0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-75350</v>
      </c>
      <c r="H466" s="239"/>
      <c r="I466" s="239"/>
      <c r="J466" s="210">
        <v>0</v>
      </c>
      <c r="K466" s="209">
        <v>0</v>
      </c>
      <c r="L466" s="209">
        <v>-75350</v>
      </c>
      <c r="M466" s="209">
        <v>0</v>
      </c>
      <c r="N466" s="242">
        <v>0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-75350</v>
      </c>
      <c r="H467" s="239"/>
      <c r="I467" s="239"/>
      <c r="J467" s="210">
        <v>0</v>
      </c>
      <c r="K467" s="209">
        <v>0</v>
      </c>
      <c r="L467" s="209">
        <v>-75350</v>
      </c>
      <c r="M467" s="209">
        <v>0</v>
      </c>
      <c r="N467" s="242">
        <v>0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-75350</v>
      </c>
      <c r="H468" s="239"/>
      <c r="I468" s="239"/>
      <c r="J468" s="210">
        <v>0</v>
      </c>
      <c r="K468" s="209">
        <v>0</v>
      </c>
      <c r="L468" s="209">
        <v>-75350</v>
      </c>
      <c r="M468" s="209">
        <v>0</v>
      </c>
      <c r="N468" s="242">
        <v>0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-76383</v>
      </c>
      <c r="H469" s="239"/>
      <c r="I469" s="239"/>
      <c r="J469" s="210">
        <v>0</v>
      </c>
      <c r="K469" s="209">
        <v>0</v>
      </c>
      <c r="L469" s="209">
        <v>-76383</v>
      </c>
      <c r="M469" s="209">
        <v>0</v>
      </c>
      <c r="N469" s="242">
        <v>0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-76383</v>
      </c>
      <c r="H470" s="239"/>
      <c r="I470" s="239"/>
      <c r="J470" s="210">
        <v>0</v>
      </c>
      <c r="K470" s="209">
        <v>0</v>
      </c>
      <c r="L470" s="209">
        <v>-76383</v>
      </c>
      <c r="M470" s="209">
        <v>0</v>
      </c>
      <c r="N470" s="242">
        <v>0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-76383</v>
      </c>
      <c r="H471" s="239"/>
      <c r="I471" s="239"/>
      <c r="J471" s="210">
        <v>0</v>
      </c>
      <c r="K471" s="209">
        <v>0</v>
      </c>
      <c r="L471" s="209">
        <v>-76383</v>
      </c>
      <c r="M471" s="209">
        <v>0</v>
      </c>
      <c r="N471" s="242">
        <v>0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-33519</v>
      </c>
      <c r="H473" s="239"/>
      <c r="I473" s="239"/>
      <c r="J473" s="210">
        <v>0</v>
      </c>
      <c r="K473" s="209">
        <v>0</v>
      </c>
      <c r="L473" s="209">
        <v>-33519</v>
      </c>
      <c r="M473" s="209">
        <v>0</v>
      </c>
      <c r="N473" s="242">
        <v>0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-205068</v>
      </c>
      <c r="H483" s="239"/>
      <c r="I483" s="239"/>
      <c r="J483" s="210">
        <v>0</v>
      </c>
      <c r="K483" s="209">
        <v>0</v>
      </c>
      <c r="L483" s="209">
        <v>-205068</v>
      </c>
      <c r="M483" s="209">
        <v>0</v>
      </c>
      <c r="N483" s="242">
        <v>0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-52832</v>
      </c>
      <c r="H484" s="239"/>
      <c r="I484" s="239"/>
      <c r="J484" s="210">
        <v>0</v>
      </c>
      <c r="K484" s="209">
        <v>0</v>
      </c>
      <c r="L484" s="209">
        <v>-52832</v>
      </c>
      <c r="M484" s="209">
        <v>0</v>
      </c>
      <c r="N484" s="242">
        <v>0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-62560</v>
      </c>
      <c r="H485" s="239"/>
      <c r="I485" s="239"/>
      <c r="J485" s="210">
        <v>0</v>
      </c>
      <c r="K485" s="209">
        <v>0</v>
      </c>
      <c r="L485" s="209">
        <v>-62560</v>
      </c>
      <c r="M485" s="209">
        <v>0</v>
      </c>
      <c r="N485" s="242">
        <v>0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-62560</v>
      </c>
      <c r="H486" s="239"/>
      <c r="I486" s="239"/>
      <c r="J486" s="210">
        <v>0</v>
      </c>
      <c r="K486" s="209">
        <v>0</v>
      </c>
      <c r="L486" s="209">
        <v>-62560</v>
      </c>
      <c r="M486" s="209">
        <v>0</v>
      </c>
      <c r="N486" s="242">
        <v>0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-62560</v>
      </c>
      <c r="H487" s="239"/>
      <c r="I487" s="239"/>
      <c r="J487" s="210">
        <v>0</v>
      </c>
      <c r="K487" s="209">
        <v>0</v>
      </c>
      <c r="L487" s="209">
        <v>-62560</v>
      </c>
      <c r="M487" s="209">
        <v>0</v>
      </c>
      <c r="N487" s="242">
        <v>0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-62560</v>
      </c>
      <c r="H488" s="239"/>
      <c r="I488" s="239"/>
      <c r="J488" s="210">
        <v>0</v>
      </c>
      <c r="K488" s="209">
        <v>0</v>
      </c>
      <c r="L488" s="209">
        <v>-62560</v>
      </c>
      <c r="M488" s="209">
        <v>0</v>
      </c>
      <c r="N488" s="242">
        <v>0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-62560</v>
      </c>
      <c r="H489" s="239"/>
      <c r="I489" s="239"/>
      <c r="J489" s="210">
        <v>0</v>
      </c>
      <c r="K489" s="209">
        <v>0</v>
      </c>
      <c r="L489" s="209">
        <v>-62560</v>
      </c>
      <c r="M489" s="209">
        <v>0</v>
      </c>
      <c r="N489" s="242">
        <v>0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-62560</v>
      </c>
      <c r="H490" s="239"/>
      <c r="I490" s="239"/>
      <c r="J490" s="210">
        <v>0</v>
      </c>
      <c r="K490" s="209">
        <v>0</v>
      </c>
      <c r="L490" s="209">
        <v>-62560</v>
      </c>
      <c r="M490" s="209">
        <v>0</v>
      </c>
      <c r="N490" s="242">
        <v>0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-62560</v>
      </c>
      <c r="H491" s="239"/>
      <c r="I491" s="239"/>
      <c r="J491" s="210">
        <v>0</v>
      </c>
      <c r="K491" s="209">
        <v>0</v>
      </c>
      <c r="L491" s="209">
        <v>-62560</v>
      </c>
      <c r="M491" s="209">
        <v>0</v>
      </c>
      <c r="N491" s="242">
        <v>0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-62560</v>
      </c>
      <c r="H492" s="239"/>
      <c r="I492" s="239"/>
      <c r="J492" s="210">
        <v>0</v>
      </c>
      <c r="K492" s="209">
        <v>0</v>
      </c>
      <c r="L492" s="209">
        <v>-62560</v>
      </c>
      <c r="M492" s="209">
        <v>0</v>
      </c>
      <c r="N492" s="242">
        <v>0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-62560</v>
      </c>
      <c r="H493" s="239"/>
      <c r="I493" s="239"/>
      <c r="J493" s="210">
        <v>0</v>
      </c>
      <c r="K493" s="209">
        <v>0</v>
      </c>
      <c r="L493" s="209">
        <v>-62560</v>
      </c>
      <c r="M493" s="209">
        <v>0</v>
      </c>
      <c r="N493" s="242">
        <v>0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-62560</v>
      </c>
      <c r="H494" s="239"/>
      <c r="I494" s="239"/>
      <c r="J494" s="210">
        <v>0</v>
      </c>
      <c r="K494" s="209">
        <v>0</v>
      </c>
      <c r="L494" s="209">
        <v>-62560</v>
      </c>
      <c r="M494" s="209">
        <v>0</v>
      </c>
      <c r="N494" s="242">
        <v>0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-62560</v>
      </c>
      <c r="H495" s="239"/>
      <c r="I495" s="239"/>
      <c r="J495" s="210">
        <v>0</v>
      </c>
      <c r="K495" s="209">
        <v>0</v>
      </c>
      <c r="L495" s="209">
        <v>-62560</v>
      </c>
      <c r="M495" s="209">
        <v>0</v>
      </c>
      <c r="N495" s="242">
        <v>0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-62560</v>
      </c>
      <c r="H496" s="239"/>
      <c r="I496" s="239"/>
      <c r="J496" s="210">
        <v>0</v>
      </c>
      <c r="K496" s="209">
        <v>0</v>
      </c>
      <c r="L496" s="209">
        <v>-62560</v>
      </c>
      <c r="M496" s="209">
        <v>0</v>
      </c>
      <c r="N496" s="242">
        <v>0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-62560</v>
      </c>
      <c r="H497" s="239"/>
      <c r="I497" s="239"/>
      <c r="J497" s="210">
        <v>0</v>
      </c>
      <c r="K497" s="209">
        <v>0</v>
      </c>
      <c r="L497" s="209">
        <v>-62560</v>
      </c>
      <c r="M497" s="209">
        <v>0</v>
      </c>
      <c r="N497" s="242">
        <v>0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-62560</v>
      </c>
      <c r="H498" s="239"/>
      <c r="I498" s="239"/>
      <c r="J498" s="210">
        <v>0</v>
      </c>
      <c r="K498" s="209">
        <v>0</v>
      </c>
      <c r="L498" s="209">
        <v>-62560</v>
      </c>
      <c r="M498" s="209">
        <v>0</v>
      </c>
      <c r="N498" s="242">
        <v>0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-175800</v>
      </c>
      <c r="H500" s="239"/>
      <c r="I500" s="239"/>
      <c r="J500" s="210">
        <v>0</v>
      </c>
      <c r="K500" s="209">
        <v>0</v>
      </c>
      <c r="L500" s="209">
        <v>-175800</v>
      </c>
      <c r="M500" s="209">
        <v>0</v>
      </c>
      <c r="N500" s="242">
        <v>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-569888.96</v>
      </c>
      <c r="H502" s="239"/>
      <c r="I502" s="239"/>
      <c r="J502" s="210">
        <v>-16287.85</v>
      </c>
      <c r="K502" s="209">
        <v>0</v>
      </c>
      <c r="L502" s="209">
        <v>-586176.81000000006</v>
      </c>
      <c r="M502" s="209">
        <v>16287.85</v>
      </c>
      <c r="N502" s="242">
        <v>0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-271798.21999999997</v>
      </c>
      <c r="H503" s="239"/>
      <c r="I503" s="239"/>
      <c r="J503" s="210">
        <v>0</v>
      </c>
      <c r="K503" s="209">
        <v>0</v>
      </c>
      <c r="L503" s="209">
        <v>-271798.21999999997</v>
      </c>
      <c r="M503" s="209">
        <v>0</v>
      </c>
      <c r="N503" s="242">
        <v>0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-86764.85</v>
      </c>
      <c r="H504" s="239"/>
      <c r="I504" s="239"/>
      <c r="J504" s="210">
        <v>0</v>
      </c>
      <c r="K504" s="209">
        <v>0</v>
      </c>
      <c r="L504" s="209">
        <v>-86764.85</v>
      </c>
      <c r="M504" s="209">
        <v>0</v>
      </c>
      <c r="N504" s="242">
        <v>0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-1000000</v>
      </c>
      <c r="H505" s="239"/>
      <c r="I505" s="239"/>
      <c r="J505" s="210">
        <v>0</v>
      </c>
      <c r="K505" s="209">
        <v>0</v>
      </c>
      <c r="L505" s="209">
        <v>-1000000</v>
      </c>
      <c r="M505" s="209">
        <v>0</v>
      </c>
      <c r="N505" s="242">
        <v>0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-259436</v>
      </c>
      <c r="H507" s="239"/>
      <c r="I507" s="239"/>
      <c r="J507" s="210">
        <v>0</v>
      </c>
      <c r="K507" s="209">
        <v>0</v>
      </c>
      <c r="L507" s="209">
        <v>-259436</v>
      </c>
      <c r="M507" s="209">
        <v>0</v>
      </c>
      <c r="N507" s="242">
        <v>0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-228654</v>
      </c>
      <c r="H509" s="239"/>
      <c r="I509" s="239"/>
      <c r="J509" s="210">
        <v>0</v>
      </c>
      <c r="K509" s="209">
        <v>0</v>
      </c>
      <c r="L509" s="209">
        <v>-228654</v>
      </c>
      <c r="M509" s="209">
        <v>0</v>
      </c>
      <c r="N509" s="242">
        <v>0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-260000</v>
      </c>
      <c r="H510" s="239"/>
      <c r="I510" s="239"/>
      <c r="J510" s="210">
        <v>0</v>
      </c>
      <c r="K510" s="209">
        <v>0</v>
      </c>
      <c r="L510" s="209">
        <v>-260000</v>
      </c>
      <c r="M510" s="209">
        <v>0</v>
      </c>
      <c r="N510" s="242">
        <v>0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-142269.65</v>
      </c>
      <c r="H513" s="239"/>
      <c r="I513" s="239"/>
      <c r="J513" s="210">
        <v>0</v>
      </c>
      <c r="K513" s="209">
        <v>0</v>
      </c>
      <c r="L513" s="209">
        <v>-142269.65</v>
      </c>
      <c r="M513" s="209">
        <v>0</v>
      </c>
      <c r="N513" s="242">
        <v>0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-22820.75</v>
      </c>
      <c r="H514" s="239"/>
      <c r="I514" s="239"/>
      <c r="J514" s="210">
        <v>0</v>
      </c>
      <c r="K514" s="209">
        <v>0</v>
      </c>
      <c r="L514" s="209">
        <v>-22820.75</v>
      </c>
      <c r="M514" s="209">
        <v>0</v>
      </c>
      <c r="N514" s="242">
        <v>0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-28030.66</v>
      </c>
      <c r="H515" s="239"/>
      <c r="I515" s="239"/>
      <c r="J515" s="210">
        <v>0</v>
      </c>
      <c r="K515" s="209">
        <v>0</v>
      </c>
      <c r="L515" s="209">
        <v>-28030.66</v>
      </c>
      <c r="M515" s="209">
        <v>0</v>
      </c>
      <c r="N515" s="242">
        <v>0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-45641.36</v>
      </c>
      <c r="H516" s="239"/>
      <c r="I516" s="239"/>
      <c r="J516" s="210">
        <v>0</v>
      </c>
      <c r="K516" s="209">
        <v>0</v>
      </c>
      <c r="L516" s="209">
        <v>-45641.36</v>
      </c>
      <c r="M516" s="209">
        <v>0</v>
      </c>
      <c r="N516" s="242">
        <v>0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-62805.48</v>
      </c>
      <c r="H517" s="239"/>
      <c r="I517" s="239"/>
      <c r="J517" s="210">
        <v>-3694.52</v>
      </c>
      <c r="K517" s="209">
        <v>0</v>
      </c>
      <c r="L517" s="209">
        <v>-66500</v>
      </c>
      <c r="M517" s="209">
        <v>3694.52</v>
      </c>
      <c r="N517" s="242">
        <v>0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-62805.48</v>
      </c>
      <c r="H518" s="239"/>
      <c r="I518" s="239"/>
      <c r="J518" s="210">
        <v>-3694.52</v>
      </c>
      <c r="K518" s="209">
        <v>0</v>
      </c>
      <c r="L518" s="209">
        <v>-66500</v>
      </c>
      <c r="M518" s="209">
        <v>3694.52</v>
      </c>
      <c r="N518" s="242">
        <v>0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-62805.48</v>
      </c>
      <c r="H519" s="239"/>
      <c r="I519" s="239"/>
      <c r="J519" s="210">
        <v>-3694.52</v>
      </c>
      <c r="K519" s="209">
        <v>0</v>
      </c>
      <c r="L519" s="209">
        <v>-66500</v>
      </c>
      <c r="M519" s="209">
        <v>3694.52</v>
      </c>
      <c r="N519" s="242">
        <v>0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-62805.48</v>
      </c>
      <c r="H520" s="239"/>
      <c r="I520" s="239"/>
      <c r="J520" s="210">
        <v>-3694.52</v>
      </c>
      <c r="K520" s="209">
        <v>0</v>
      </c>
      <c r="L520" s="209">
        <v>-66500</v>
      </c>
      <c r="M520" s="209">
        <v>3694.52</v>
      </c>
      <c r="N520" s="242">
        <v>0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-62805.48</v>
      </c>
      <c r="H521" s="239"/>
      <c r="I521" s="239"/>
      <c r="J521" s="210">
        <v>-3694.52</v>
      </c>
      <c r="K521" s="209">
        <v>0</v>
      </c>
      <c r="L521" s="209">
        <v>-66500</v>
      </c>
      <c r="M521" s="209">
        <v>3694.52</v>
      </c>
      <c r="N521" s="242">
        <v>0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-300337.39</v>
      </c>
      <c r="H522" s="239"/>
      <c r="I522" s="239"/>
      <c r="J522" s="210">
        <v>-21199</v>
      </c>
      <c r="K522" s="209">
        <v>0</v>
      </c>
      <c r="L522" s="209">
        <v>-321536.39</v>
      </c>
      <c r="M522" s="209">
        <v>123662.61</v>
      </c>
      <c r="N522" s="242">
        <v>102463.61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-64314.96</v>
      </c>
      <c r="H523" s="239"/>
      <c r="I523" s="239"/>
      <c r="J523" s="210">
        <v>-4185.04</v>
      </c>
      <c r="K523" s="209">
        <v>0</v>
      </c>
      <c r="L523" s="209">
        <v>-68500</v>
      </c>
      <c r="M523" s="209">
        <v>4185.04</v>
      </c>
      <c r="N523" s="242">
        <v>0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-64314.96</v>
      </c>
      <c r="H524" s="239"/>
      <c r="I524" s="239"/>
      <c r="J524" s="210">
        <v>-4185.04</v>
      </c>
      <c r="K524" s="209">
        <v>0</v>
      </c>
      <c r="L524" s="209">
        <v>-68500</v>
      </c>
      <c r="M524" s="209">
        <v>4185.04</v>
      </c>
      <c r="N524" s="242">
        <v>0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-64314.96</v>
      </c>
      <c r="H525" s="239"/>
      <c r="I525" s="239"/>
      <c r="J525" s="210">
        <v>-4185.04</v>
      </c>
      <c r="K525" s="209">
        <v>0</v>
      </c>
      <c r="L525" s="209">
        <v>-68500</v>
      </c>
      <c r="M525" s="209">
        <v>4185.04</v>
      </c>
      <c r="N525" s="242">
        <v>0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-64314.96</v>
      </c>
      <c r="H526" s="239"/>
      <c r="I526" s="239"/>
      <c r="J526" s="210">
        <v>-4185.04</v>
      </c>
      <c r="K526" s="209">
        <v>0</v>
      </c>
      <c r="L526" s="209">
        <v>-68500</v>
      </c>
      <c r="M526" s="209">
        <v>4185.04</v>
      </c>
      <c r="N526" s="242">
        <v>0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-64314.96</v>
      </c>
      <c r="H527" s="239"/>
      <c r="I527" s="239"/>
      <c r="J527" s="210">
        <v>-4185.04</v>
      </c>
      <c r="K527" s="209">
        <v>0</v>
      </c>
      <c r="L527" s="209">
        <v>-68500</v>
      </c>
      <c r="M527" s="209">
        <v>4185.04</v>
      </c>
      <c r="N527" s="242">
        <v>0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-64314.96</v>
      </c>
      <c r="H528" s="239"/>
      <c r="I528" s="239"/>
      <c r="J528" s="210">
        <v>-4185.04</v>
      </c>
      <c r="K528" s="209">
        <v>0</v>
      </c>
      <c r="L528" s="209">
        <v>-68500</v>
      </c>
      <c r="M528" s="209">
        <v>4185.04</v>
      </c>
      <c r="N528" s="242">
        <v>0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-64314.96</v>
      </c>
      <c r="H529" s="239"/>
      <c r="I529" s="239"/>
      <c r="J529" s="210">
        <v>-4185.04</v>
      </c>
      <c r="K529" s="209">
        <v>0</v>
      </c>
      <c r="L529" s="209">
        <v>-68500</v>
      </c>
      <c r="M529" s="209">
        <v>4185.04</v>
      </c>
      <c r="N529" s="242">
        <v>0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-64314.96</v>
      </c>
      <c r="H530" s="239"/>
      <c r="I530" s="239"/>
      <c r="J530" s="210">
        <v>-4185.04</v>
      </c>
      <c r="K530" s="209">
        <v>0</v>
      </c>
      <c r="L530" s="209">
        <v>-68500</v>
      </c>
      <c r="M530" s="209">
        <v>4185.04</v>
      </c>
      <c r="N530" s="242">
        <v>0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-64314.96</v>
      </c>
      <c r="H531" s="239"/>
      <c r="I531" s="239"/>
      <c r="J531" s="210">
        <v>-4185.04</v>
      </c>
      <c r="K531" s="209">
        <v>0</v>
      </c>
      <c r="L531" s="209">
        <v>-68500</v>
      </c>
      <c r="M531" s="209">
        <v>4185.04</v>
      </c>
      <c r="N531" s="242">
        <v>0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-64314.96</v>
      </c>
      <c r="H532" s="239"/>
      <c r="I532" s="239"/>
      <c r="J532" s="210">
        <v>-4185.04</v>
      </c>
      <c r="K532" s="209">
        <v>0</v>
      </c>
      <c r="L532" s="209">
        <v>-68500</v>
      </c>
      <c r="M532" s="209">
        <v>4185.04</v>
      </c>
      <c r="N532" s="242">
        <v>0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-33200</v>
      </c>
      <c r="H534" s="239"/>
      <c r="I534" s="239"/>
      <c r="J534" s="210">
        <v>0</v>
      </c>
      <c r="K534" s="209">
        <v>0</v>
      </c>
      <c r="L534" s="209">
        <v>-33200</v>
      </c>
      <c r="M534" s="209">
        <v>0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-399000</v>
      </c>
      <c r="H535" s="239"/>
      <c r="I535" s="239"/>
      <c r="J535" s="210">
        <v>0</v>
      </c>
      <c r="K535" s="209">
        <v>0</v>
      </c>
      <c r="L535" s="209">
        <v>-399000</v>
      </c>
      <c r="M535" s="209">
        <v>0</v>
      </c>
      <c r="N535" s="242">
        <v>0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-25275</v>
      </c>
      <c r="H536" s="239"/>
      <c r="I536" s="239"/>
      <c r="J536" s="210">
        <v>0</v>
      </c>
      <c r="K536" s="209">
        <v>0</v>
      </c>
      <c r="L536" s="209">
        <v>-25275</v>
      </c>
      <c r="M536" s="209">
        <v>0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-78161</v>
      </c>
      <c r="H537" s="239"/>
      <c r="I537" s="239"/>
      <c r="J537" s="210">
        <v>0</v>
      </c>
      <c r="K537" s="209">
        <v>0</v>
      </c>
      <c r="L537" s="209">
        <v>-78161</v>
      </c>
      <c r="M537" s="209">
        <v>0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-78500</v>
      </c>
      <c r="H538" s="239"/>
      <c r="I538" s="239"/>
      <c r="J538" s="210">
        <v>0</v>
      </c>
      <c r="K538" s="209">
        <v>0</v>
      </c>
      <c r="L538" s="209">
        <v>-78500</v>
      </c>
      <c r="M538" s="209">
        <v>0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-159973.20000000001</v>
      </c>
      <c r="H539" s="239"/>
      <c r="I539" s="239"/>
      <c r="J539" s="210">
        <v>0</v>
      </c>
      <c r="K539" s="209">
        <v>0</v>
      </c>
      <c r="L539" s="209">
        <v>-159973.20000000001</v>
      </c>
      <c r="M539" s="209">
        <v>0</v>
      </c>
      <c r="N539" s="242">
        <v>0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-45500</v>
      </c>
      <c r="H540" s="239"/>
      <c r="I540" s="239"/>
      <c r="J540" s="210">
        <v>0</v>
      </c>
      <c r="K540" s="209">
        <v>0</v>
      </c>
      <c r="L540" s="209">
        <v>-45500</v>
      </c>
      <c r="M540" s="209">
        <v>0</v>
      </c>
      <c r="N540" s="242">
        <v>0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-75200</v>
      </c>
      <c r="H541" s="239"/>
      <c r="I541" s="239"/>
      <c r="J541" s="210">
        <v>0</v>
      </c>
      <c r="K541" s="209">
        <v>0</v>
      </c>
      <c r="L541" s="209">
        <v>-75200</v>
      </c>
      <c r="M541" s="209">
        <v>0</v>
      </c>
      <c r="N541" s="242">
        <v>0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-71100</v>
      </c>
      <c r="H542" s="239"/>
      <c r="I542" s="239"/>
      <c r="J542" s="210">
        <v>0</v>
      </c>
      <c r="K542" s="209">
        <v>0</v>
      </c>
      <c r="L542" s="209">
        <v>-71100</v>
      </c>
      <c r="M542" s="209">
        <v>0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-35550</v>
      </c>
      <c r="H543" s="239"/>
      <c r="I543" s="239"/>
      <c r="J543" s="210">
        <v>0</v>
      </c>
      <c r="K543" s="209">
        <v>0</v>
      </c>
      <c r="L543" s="209">
        <v>-35550</v>
      </c>
      <c r="M543" s="209">
        <v>0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-35550</v>
      </c>
      <c r="H544" s="239"/>
      <c r="I544" s="239"/>
      <c r="J544" s="210">
        <v>0</v>
      </c>
      <c r="K544" s="209">
        <v>0</v>
      </c>
      <c r="L544" s="209">
        <v>-35550</v>
      </c>
      <c r="M544" s="209">
        <v>0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-41400</v>
      </c>
      <c r="H545" s="239"/>
      <c r="I545" s="239"/>
      <c r="J545" s="210">
        <v>0</v>
      </c>
      <c r="K545" s="209">
        <v>0</v>
      </c>
      <c r="L545" s="209">
        <v>-41400</v>
      </c>
      <c r="M545" s="209">
        <v>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-174447</v>
      </c>
      <c r="H546" s="239"/>
      <c r="I546" s="239"/>
      <c r="J546" s="210">
        <v>0</v>
      </c>
      <c r="K546" s="209">
        <v>0</v>
      </c>
      <c r="L546" s="209">
        <v>-174447</v>
      </c>
      <c r="M546" s="209">
        <v>0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-189600</v>
      </c>
      <c r="H586" s="239"/>
      <c r="I586" s="239"/>
      <c r="J586" s="210">
        <v>0</v>
      </c>
      <c r="K586" s="209">
        <v>0</v>
      </c>
      <c r="L586" s="209">
        <v>-189600</v>
      </c>
      <c r="M586" s="209">
        <v>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-542510.68999999994</v>
      </c>
      <c r="H587" s="239"/>
      <c r="I587" s="239"/>
      <c r="J587" s="210">
        <v>0</v>
      </c>
      <c r="K587" s="209">
        <v>0</v>
      </c>
      <c r="L587" s="209">
        <v>-542510.68999999994</v>
      </c>
      <c r="M587" s="209">
        <v>0</v>
      </c>
      <c r="N587" s="242">
        <v>0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-639666.31999999995</v>
      </c>
      <c r="H588" s="239"/>
      <c r="I588" s="239"/>
      <c r="J588" s="210">
        <v>-49206</v>
      </c>
      <c r="K588" s="209">
        <v>0</v>
      </c>
      <c r="L588" s="209">
        <v>-688872.32</v>
      </c>
      <c r="M588" s="209">
        <v>98412.41</v>
      </c>
      <c r="N588" s="242">
        <v>49206.41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-128215</v>
      </c>
      <c r="H589" s="239"/>
      <c r="I589" s="239"/>
      <c r="J589" s="210">
        <v>0</v>
      </c>
      <c r="K589" s="209">
        <v>0</v>
      </c>
      <c r="L589" s="209">
        <v>-128215</v>
      </c>
      <c r="M589" s="209">
        <v>0</v>
      </c>
      <c r="N589" s="242">
        <v>0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-9071.1200000000008</v>
      </c>
      <c r="H590" s="239"/>
      <c r="I590" s="239"/>
      <c r="J590" s="210">
        <v>0</v>
      </c>
      <c r="K590" s="209">
        <v>0</v>
      </c>
      <c r="L590" s="209">
        <v>-9071.1200000000008</v>
      </c>
      <c r="M590" s="209">
        <v>0</v>
      </c>
      <c r="N590" s="242">
        <v>0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-26512.98</v>
      </c>
      <c r="H591" s="239"/>
      <c r="I591" s="239"/>
      <c r="J591" s="210">
        <v>0</v>
      </c>
      <c r="K591" s="209">
        <v>0</v>
      </c>
      <c r="L591" s="209">
        <v>-26512.98</v>
      </c>
      <c r="M591" s="209">
        <v>0</v>
      </c>
      <c r="N591" s="242">
        <v>0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-65900</v>
      </c>
      <c r="H592" s="239"/>
      <c r="I592" s="239"/>
      <c r="J592" s="210">
        <v>0</v>
      </c>
      <c r="K592" s="209">
        <v>0</v>
      </c>
      <c r="L592" s="209">
        <v>-65900</v>
      </c>
      <c r="M592" s="209">
        <v>0</v>
      </c>
      <c r="N592" s="242">
        <v>0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-39502.5</v>
      </c>
      <c r="H593" s="239"/>
      <c r="I593" s="239"/>
      <c r="J593" s="210">
        <v>0</v>
      </c>
      <c r="K593" s="209">
        <v>0</v>
      </c>
      <c r="L593" s="209">
        <v>-39502.5</v>
      </c>
      <c r="M593" s="209">
        <v>0</v>
      </c>
      <c r="N593" s="242">
        <v>0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-277166</v>
      </c>
      <c r="H594" s="239"/>
      <c r="I594" s="239"/>
      <c r="J594" s="210">
        <v>0</v>
      </c>
      <c r="K594" s="209">
        <v>0</v>
      </c>
      <c r="L594" s="209">
        <v>-277166</v>
      </c>
      <c r="M594" s="209">
        <v>0</v>
      </c>
      <c r="N594" s="242">
        <v>0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-82545</v>
      </c>
      <c r="H595" s="239"/>
      <c r="I595" s="239"/>
      <c r="J595" s="210">
        <v>0</v>
      </c>
      <c r="K595" s="209">
        <v>0</v>
      </c>
      <c r="L595" s="209">
        <v>-82545</v>
      </c>
      <c r="M595" s="209">
        <v>0</v>
      </c>
      <c r="N595" s="242">
        <v>0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-587400</v>
      </c>
      <c r="H596" s="239"/>
      <c r="I596" s="239"/>
      <c r="J596" s="210">
        <v>0</v>
      </c>
      <c r="K596" s="209">
        <v>0</v>
      </c>
      <c r="L596" s="209">
        <v>-587400</v>
      </c>
      <c r="M596" s="209">
        <v>0</v>
      </c>
      <c r="N596" s="242">
        <v>0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-205400</v>
      </c>
      <c r="H597" s="239"/>
      <c r="I597" s="239"/>
      <c r="J597" s="210">
        <v>0</v>
      </c>
      <c r="K597" s="209">
        <v>0</v>
      </c>
      <c r="L597" s="209">
        <v>-205400</v>
      </c>
      <c r="M597" s="209">
        <v>0</v>
      </c>
      <c r="N597" s="242">
        <v>0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-132505</v>
      </c>
      <c r="H598" s="239"/>
      <c r="I598" s="239"/>
      <c r="J598" s="210">
        <v>-10745</v>
      </c>
      <c r="K598" s="209">
        <v>0</v>
      </c>
      <c r="L598" s="209">
        <v>-143250</v>
      </c>
      <c r="M598" s="209">
        <v>28652.5</v>
      </c>
      <c r="N598" s="242">
        <v>17907.5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-132505</v>
      </c>
      <c r="H599" s="239"/>
      <c r="I599" s="239"/>
      <c r="J599" s="210">
        <v>-10745</v>
      </c>
      <c r="K599" s="209">
        <v>0</v>
      </c>
      <c r="L599" s="209">
        <v>-143250</v>
      </c>
      <c r="M599" s="209">
        <v>28652.5</v>
      </c>
      <c r="N599" s="242">
        <v>17907.5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-132505</v>
      </c>
      <c r="H600" s="239"/>
      <c r="I600" s="239"/>
      <c r="J600" s="210">
        <v>-10745</v>
      </c>
      <c r="K600" s="209">
        <v>0</v>
      </c>
      <c r="L600" s="209">
        <v>-143250</v>
      </c>
      <c r="M600" s="209">
        <v>28652.5</v>
      </c>
      <c r="N600" s="242">
        <v>17907.5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-132505</v>
      </c>
      <c r="H601" s="239"/>
      <c r="I601" s="239"/>
      <c r="J601" s="210">
        <v>-10745</v>
      </c>
      <c r="K601" s="209">
        <v>0</v>
      </c>
      <c r="L601" s="209">
        <v>-143250</v>
      </c>
      <c r="M601" s="209">
        <v>28652.5</v>
      </c>
      <c r="N601" s="242">
        <v>17907.5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-132505</v>
      </c>
      <c r="H602" s="239"/>
      <c r="I602" s="239"/>
      <c r="J602" s="210">
        <v>-10745</v>
      </c>
      <c r="K602" s="209">
        <v>0</v>
      </c>
      <c r="L602" s="209">
        <v>-143250</v>
      </c>
      <c r="M602" s="209">
        <v>28652.5</v>
      </c>
      <c r="N602" s="242">
        <v>17907.5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-132505</v>
      </c>
      <c r="H603" s="239"/>
      <c r="I603" s="239"/>
      <c r="J603" s="210">
        <v>-10745</v>
      </c>
      <c r="K603" s="209">
        <v>0</v>
      </c>
      <c r="L603" s="209">
        <v>-143250</v>
      </c>
      <c r="M603" s="209">
        <v>28652.5</v>
      </c>
      <c r="N603" s="242">
        <v>17907.5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-132505</v>
      </c>
      <c r="H604" s="239"/>
      <c r="I604" s="239"/>
      <c r="J604" s="210">
        <v>-10745</v>
      </c>
      <c r="K604" s="209">
        <v>0</v>
      </c>
      <c r="L604" s="209">
        <v>-143250</v>
      </c>
      <c r="M604" s="209">
        <v>28652.5</v>
      </c>
      <c r="N604" s="242">
        <v>17907.5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-132505</v>
      </c>
      <c r="H605" s="239"/>
      <c r="I605" s="239"/>
      <c r="J605" s="210">
        <v>-10745</v>
      </c>
      <c r="K605" s="209">
        <v>0</v>
      </c>
      <c r="L605" s="209">
        <v>-143250</v>
      </c>
      <c r="M605" s="209">
        <v>28652.5</v>
      </c>
      <c r="N605" s="242">
        <v>17907.5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-2612010</v>
      </c>
      <c r="H606" s="239"/>
      <c r="I606" s="239"/>
      <c r="J606" s="210">
        <v>-214686</v>
      </c>
      <c r="K606" s="209">
        <v>0</v>
      </c>
      <c r="L606" s="209">
        <v>-2826696</v>
      </c>
      <c r="M606" s="209">
        <v>608277.21</v>
      </c>
      <c r="N606" s="242">
        <v>393591.21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-40696</v>
      </c>
      <c r="H607" s="239"/>
      <c r="I607" s="239"/>
      <c r="J607" s="210">
        <v>0</v>
      </c>
      <c r="K607" s="209">
        <v>0</v>
      </c>
      <c r="L607" s="209">
        <v>-40696</v>
      </c>
      <c r="M607" s="209">
        <v>0</v>
      </c>
      <c r="N607" s="242">
        <v>0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-177537.63</v>
      </c>
      <c r="H608" s="239"/>
      <c r="I608" s="239"/>
      <c r="J608" s="210">
        <v>0</v>
      </c>
      <c r="K608" s="209">
        <v>0</v>
      </c>
      <c r="L608" s="209">
        <v>-177537.63</v>
      </c>
      <c r="M608" s="209">
        <v>0</v>
      </c>
      <c r="N608" s="242">
        <v>0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-96000</v>
      </c>
      <c r="H609" s="239"/>
      <c r="I609" s="239"/>
      <c r="J609" s="210">
        <v>0</v>
      </c>
      <c r="K609" s="209">
        <v>0</v>
      </c>
      <c r="L609" s="209">
        <v>-96000</v>
      </c>
      <c r="M609" s="209">
        <v>0</v>
      </c>
      <c r="N609" s="242">
        <v>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-274600</v>
      </c>
      <c r="H610" s="239"/>
      <c r="I610" s="239"/>
      <c r="J610" s="210">
        <v>0</v>
      </c>
      <c r="K610" s="209">
        <v>0</v>
      </c>
      <c r="L610" s="209">
        <v>-274600</v>
      </c>
      <c r="M610" s="209">
        <v>0</v>
      </c>
      <c r="N610" s="242">
        <v>0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-545381</v>
      </c>
      <c r="H611" s="239"/>
      <c r="I611" s="239"/>
      <c r="J611" s="210">
        <v>0</v>
      </c>
      <c r="K611" s="209">
        <v>0</v>
      </c>
      <c r="L611" s="209">
        <v>-545381</v>
      </c>
      <c r="M611" s="209">
        <v>0</v>
      </c>
      <c r="N611" s="242">
        <v>0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-320937.43</v>
      </c>
      <c r="H612" s="239"/>
      <c r="I612" s="239"/>
      <c r="J612" s="210">
        <v>0</v>
      </c>
      <c r="K612" s="209">
        <v>0</v>
      </c>
      <c r="L612" s="209">
        <v>-320937.43</v>
      </c>
      <c r="M612" s="209">
        <v>0</v>
      </c>
      <c r="N612" s="242">
        <v>0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-325000</v>
      </c>
      <c r="H613" s="239"/>
      <c r="I613" s="239"/>
      <c r="J613" s="210">
        <v>0</v>
      </c>
      <c r="K613" s="209">
        <v>0</v>
      </c>
      <c r="L613" s="209">
        <v>-325000</v>
      </c>
      <c r="M613" s="209">
        <v>0</v>
      </c>
      <c r="N613" s="242">
        <v>0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-155000</v>
      </c>
      <c r="H614" s="239"/>
      <c r="I614" s="239"/>
      <c r="J614" s="210">
        <v>0</v>
      </c>
      <c r="K614" s="209">
        <v>0</v>
      </c>
      <c r="L614" s="209">
        <v>-155000</v>
      </c>
      <c r="M614" s="209">
        <v>0</v>
      </c>
      <c r="N614" s="242">
        <v>0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-76330.42</v>
      </c>
      <c r="H615" s="239"/>
      <c r="I615" s="239"/>
      <c r="J615" s="210">
        <v>0</v>
      </c>
      <c r="K615" s="209">
        <v>0</v>
      </c>
      <c r="L615" s="209">
        <v>-76330.42</v>
      </c>
      <c r="M615" s="209">
        <v>0</v>
      </c>
      <c r="N615" s="242">
        <v>0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-92500</v>
      </c>
      <c r="H616" s="239"/>
      <c r="I616" s="239"/>
      <c r="J616" s="210">
        <v>0</v>
      </c>
      <c r="K616" s="209">
        <v>0</v>
      </c>
      <c r="L616" s="209">
        <v>-92500</v>
      </c>
      <c r="M616" s="209">
        <v>0</v>
      </c>
      <c r="N616" s="242">
        <v>0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-137848</v>
      </c>
      <c r="H617" s="239"/>
      <c r="I617" s="239"/>
      <c r="J617" s="210">
        <v>-11488</v>
      </c>
      <c r="K617" s="209">
        <v>0</v>
      </c>
      <c r="L617" s="209">
        <v>-149336</v>
      </c>
      <c r="M617" s="209">
        <v>34463.5</v>
      </c>
      <c r="N617" s="242">
        <v>22975.5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-594864</v>
      </c>
      <c r="H618" s="239"/>
      <c r="I618" s="239"/>
      <c r="J618" s="210">
        <v>0</v>
      </c>
      <c r="K618" s="209">
        <v>0</v>
      </c>
      <c r="L618" s="209">
        <v>-594864</v>
      </c>
      <c r="M618" s="209">
        <v>0</v>
      </c>
      <c r="N618" s="242">
        <v>0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-104915</v>
      </c>
      <c r="H619" s="239"/>
      <c r="I619" s="239"/>
      <c r="J619" s="210">
        <v>0</v>
      </c>
      <c r="K619" s="209">
        <v>0</v>
      </c>
      <c r="L619" s="209">
        <v>-104915</v>
      </c>
      <c r="M619" s="209">
        <v>0</v>
      </c>
      <c r="N619" s="242">
        <v>0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-100901</v>
      </c>
      <c r="H620" s="239"/>
      <c r="I620" s="239"/>
      <c r="J620" s="210">
        <v>0</v>
      </c>
      <c r="K620" s="209">
        <v>0</v>
      </c>
      <c r="L620" s="209">
        <v>-100901</v>
      </c>
      <c r="M620" s="209">
        <v>0</v>
      </c>
      <c r="N620" s="242">
        <v>0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-420480</v>
      </c>
      <c r="H621" s="239"/>
      <c r="I621" s="239"/>
      <c r="J621" s="210">
        <v>-35040</v>
      </c>
      <c r="K621" s="209">
        <v>0</v>
      </c>
      <c r="L621" s="209">
        <v>-455520</v>
      </c>
      <c r="M621" s="209">
        <v>105120</v>
      </c>
      <c r="N621" s="242">
        <v>70080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-2712665.38</v>
      </c>
      <c r="H622" s="239"/>
      <c r="I622" s="239"/>
      <c r="J622" s="210">
        <v>0</v>
      </c>
      <c r="K622" s="209">
        <v>0</v>
      </c>
      <c r="L622" s="209">
        <v>-2712665.38</v>
      </c>
      <c r="M622" s="209">
        <v>0</v>
      </c>
      <c r="N622" s="242">
        <v>0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-203661.55</v>
      </c>
      <c r="H623" s="239"/>
      <c r="I623" s="239"/>
      <c r="J623" s="210">
        <v>0</v>
      </c>
      <c r="K623" s="209">
        <v>0</v>
      </c>
      <c r="L623" s="209">
        <v>-203661.55</v>
      </c>
      <c r="M623" s="209">
        <v>0</v>
      </c>
      <c r="N623" s="242">
        <v>0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-782447</v>
      </c>
      <c r="H624" s="239"/>
      <c r="I624" s="239"/>
      <c r="J624" s="210">
        <v>-66592</v>
      </c>
      <c r="K624" s="209">
        <v>0</v>
      </c>
      <c r="L624" s="209">
        <v>-849039</v>
      </c>
      <c r="M624" s="209">
        <v>216423.5</v>
      </c>
      <c r="N624" s="242">
        <v>149831.5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-91090</v>
      </c>
      <c r="H625" s="239"/>
      <c r="I625" s="239"/>
      <c r="J625" s="210">
        <v>0</v>
      </c>
      <c r="K625" s="209">
        <v>0</v>
      </c>
      <c r="L625" s="209">
        <v>-91090</v>
      </c>
      <c r="M625" s="209">
        <v>0</v>
      </c>
      <c r="N625" s="242">
        <v>0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-315000</v>
      </c>
      <c r="H626" s="239"/>
      <c r="I626" s="239"/>
      <c r="J626" s="210">
        <v>0</v>
      </c>
      <c r="K626" s="209">
        <v>0</v>
      </c>
      <c r="L626" s="209">
        <v>-315000</v>
      </c>
      <c r="M626" s="209">
        <v>0</v>
      </c>
      <c r="N626" s="242">
        <v>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-497041</v>
      </c>
      <c r="H627" s="239"/>
      <c r="I627" s="239"/>
      <c r="J627" s="210">
        <v>-44511</v>
      </c>
      <c r="K627" s="209">
        <v>0</v>
      </c>
      <c r="L627" s="209">
        <v>-541552</v>
      </c>
      <c r="M627" s="209">
        <v>170627</v>
      </c>
      <c r="N627" s="242">
        <v>126116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-604074</v>
      </c>
      <c r="H628" s="239"/>
      <c r="I628" s="239"/>
      <c r="J628" s="210">
        <v>-54096</v>
      </c>
      <c r="K628" s="209">
        <v>0</v>
      </c>
      <c r="L628" s="209">
        <v>-658170</v>
      </c>
      <c r="M628" s="209">
        <v>207368.7</v>
      </c>
      <c r="N628" s="242">
        <v>153272.70000000001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-40884</v>
      </c>
      <c r="H629" s="239"/>
      <c r="I629" s="239"/>
      <c r="J629" s="210">
        <v>0</v>
      </c>
      <c r="K629" s="209">
        <v>0</v>
      </c>
      <c r="L629" s="209">
        <v>-40884</v>
      </c>
      <c r="M629" s="209">
        <v>0</v>
      </c>
      <c r="N629" s="242">
        <v>0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-33480</v>
      </c>
      <c r="H630" s="239"/>
      <c r="I630" s="239"/>
      <c r="J630" s="210">
        <v>0</v>
      </c>
      <c r="K630" s="209">
        <v>0</v>
      </c>
      <c r="L630" s="209">
        <v>-33480</v>
      </c>
      <c r="M630" s="209">
        <v>0</v>
      </c>
      <c r="N630" s="242">
        <v>0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-58648.75</v>
      </c>
      <c r="H631" s="239"/>
      <c r="I631" s="239"/>
      <c r="J631" s="210">
        <v>0</v>
      </c>
      <c r="K631" s="209">
        <v>0</v>
      </c>
      <c r="L631" s="209">
        <v>-58648.75</v>
      </c>
      <c r="M631" s="209">
        <v>0</v>
      </c>
      <c r="N631" s="242">
        <v>0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-245924</v>
      </c>
      <c r="H632" s="239"/>
      <c r="I632" s="239"/>
      <c r="J632" s="210">
        <v>-22189</v>
      </c>
      <c r="K632" s="209">
        <v>0</v>
      </c>
      <c r="L632" s="209">
        <v>-268113</v>
      </c>
      <c r="M632" s="209">
        <v>86905.600000000006</v>
      </c>
      <c r="N632" s="242">
        <v>64716.6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-1553387</v>
      </c>
      <c r="H633" s="239"/>
      <c r="I633" s="239"/>
      <c r="J633" s="210">
        <v>-140155</v>
      </c>
      <c r="K633" s="209">
        <v>0</v>
      </c>
      <c r="L633" s="209">
        <v>-1693542</v>
      </c>
      <c r="M633" s="209">
        <v>548940</v>
      </c>
      <c r="N633" s="242">
        <v>408785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-603627</v>
      </c>
      <c r="H634" s="239"/>
      <c r="I634" s="239"/>
      <c r="J634" s="210">
        <v>-54462</v>
      </c>
      <c r="K634" s="209">
        <v>0</v>
      </c>
      <c r="L634" s="209">
        <v>-658089</v>
      </c>
      <c r="M634" s="209">
        <v>213310</v>
      </c>
      <c r="N634" s="242">
        <v>158848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-376543</v>
      </c>
      <c r="H635" s="239"/>
      <c r="I635" s="239"/>
      <c r="J635" s="210">
        <v>-33974</v>
      </c>
      <c r="K635" s="209">
        <v>0</v>
      </c>
      <c r="L635" s="209">
        <v>-410517</v>
      </c>
      <c r="M635" s="209">
        <v>133065</v>
      </c>
      <c r="N635" s="242">
        <v>99091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-309606</v>
      </c>
      <c r="H636" s="239"/>
      <c r="I636" s="239"/>
      <c r="J636" s="210">
        <v>-27935</v>
      </c>
      <c r="K636" s="209">
        <v>0</v>
      </c>
      <c r="L636" s="209">
        <v>-337541</v>
      </c>
      <c r="M636" s="209">
        <v>109409.67</v>
      </c>
      <c r="N636" s="242">
        <v>81474.67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-136624.75</v>
      </c>
      <c r="H637" s="239"/>
      <c r="I637" s="239"/>
      <c r="J637" s="210">
        <v>0</v>
      </c>
      <c r="K637" s="209">
        <v>0</v>
      </c>
      <c r="L637" s="209">
        <v>-136624.75</v>
      </c>
      <c r="M637" s="209">
        <v>0</v>
      </c>
      <c r="N637" s="242">
        <v>0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-323904</v>
      </c>
      <c r="H638" s="239"/>
      <c r="I638" s="239"/>
      <c r="J638" s="210">
        <v>0</v>
      </c>
      <c r="K638" s="209">
        <v>0</v>
      </c>
      <c r="L638" s="209">
        <v>-323904</v>
      </c>
      <c r="M638" s="209">
        <v>0</v>
      </c>
      <c r="N638" s="242">
        <v>0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-1313334.25</v>
      </c>
      <c r="H639" s="239"/>
      <c r="I639" s="239"/>
      <c r="J639" s="210">
        <v>0</v>
      </c>
      <c r="K639" s="209">
        <v>0</v>
      </c>
      <c r="L639" s="209">
        <v>-1313334.25</v>
      </c>
      <c r="M639" s="209">
        <v>0</v>
      </c>
      <c r="N639" s="242">
        <v>0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-77414.429999999993</v>
      </c>
      <c r="H640" s="239"/>
      <c r="I640" s="239"/>
      <c r="J640" s="210">
        <v>0</v>
      </c>
      <c r="K640" s="209">
        <v>0</v>
      </c>
      <c r="L640" s="209">
        <v>-77414.429999999993</v>
      </c>
      <c r="M640" s="209">
        <v>0</v>
      </c>
      <c r="N640" s="242">
        <v>0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-277814.5</v>
      </c>
      <c r="H641" s="239"/>
      <c r="I641" s="239"/>
      <c r="J641" s="210">
        <v>0</v>
      </c>
      <c r="K641" s="209">
        <v>0</v>
      </c>
      <c r="L641" s="209">
        <v>-277814.5</v>
      </c>
      <c r="M641" s="209">
        <v>0</v>
      </c>
      <c r="N641" s="242">
        <v>0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-77531.179999999993</v>
      </c>
      <c r="H642" s="239"/>
      <c r="I642" s="239"/>
      <c r="J642" s="210">
        <v>0</v>
      </c>
      <c r="K642" s="209">
        <v>0</v>
      </c>
      <c r="L642" s="209">
        <v>-77531.179999999993</v>
      </c>
      <c r="M642" s="209">
        <v>0</v>
      </c>
      <c r="N642" s="242">
        <v>0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-38383.25</v>
      </c>
      <c r="H643" s="239"/>
      <c r="I643" s="239"/>
      <c r="J643" s="210">
        <v>0</v>
      </c>
      <c r="K643" s="209">
        <v>0</v>
      </c>
      <c r="L643" s="209">
        <v>-38383.25</v>
      </c>
      <c r="M643" s="209">
        <v>0</v>
      </c>
      <c r="N643" s="242">
        <v>0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-150305.79999999999</v>
      </c>
      <c r="H644" s="239"/>
      <c r="I644" s="239"/>
      <c r="J644" s="210">
        <v>0</v>
      </c>
      <c r="K644" s="209">
        <v>0</v>
      </c>
      <c r="L644" s="209">
        <v>-150305.79999999999</v>
      </c>
      <c r="M644" s="209">
        <v>0</v>
      </c>
      <c r="N644" s="242">
        <v>0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-199000</v>
      </c>
      <c r="H645" s="239"/>
      <c r="I645" s="239"/>
      <c r="J645" s="210">
        <v>0</v>
      </c>
      <c r="K645" s="209">
        <v>0</v>
      </c>
      <c r="L645" s="209">
        <v>-199000</v>
      </c>
      <c r="M645" s="209">
        <v>0</v>
      </c>
      <c r="N645" s="242">
        <v>0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-103715.62</v>
      </c>
      <c r="H646" s="239"/>
      <c r="I646" s="239"/>
      <c r="J646" s="210">
        <v>0</v>
      </c>
      <c r="K646" s="209">
        <v>0</v>
      </c>
      <c r="L646" s="209">
        <v>-103715.62</v>
      </c>
      <c r="M646" s="209">
        <v>0</v>
      </c>
      <c r="N646" s="242">
        <v>0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-468824</v>
      </c>
      <c r="H647" s="239"/>
      <c r="I647" s="239"/>
      <c r="J647" s="210">
        <v>0</v>
      </c>
      <c r="K647" s="209">
        <v>0</v>
      </c>
      <c r="L647" s="209">
        <v>-468824</v>
      </c>
      <c r="M647" s="209">
        <v>0</v>
      </c>
      <c r="N647" s="242">
        <v>0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-35700</v>
      </c>
      <c r="H648" s="239"/>
      <c r="I648" s="239"/>
      <c r="J648" s="210">
        <v>0</v>
      </c>
      <c r="K648" s="209">
        <v>0</v>
      </c>
      <c r="L648" s="209">
        <v>-35700</v>
      </c>
      <c r="M648" s="209">
        <v>0</v>
      </c>
      <c r="N648" s="242">
        <v>0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-158400</v>
      </c>
      <c r="H649" s="239"/>
      <c r="I649" s="239"/>
      <c r="J649" s="210">
        <v>0</v>
      </c>
      <c r="K649" s="209">
        <v>0</v>
      </c>
      <c r="L649" s="209">
        <v>-158400</v>
      </c>
      <c r="M649" s="209">
        <v>0</v>
      </c>
      <c r="N649" s="242">
        <v>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-107499</v>
      </c>
      <c r="H650" s="239"/>
      <c r="I650" s="239"/>
      <c r="J650" s="210">
        <v>-10000</v>
      </c>
      <c r="K650" s="209">
        <v>0</v>
      </c>
      <c r="L650" s="209">
        <v>-117499</v>
      </c>
      <c r="M650" s="209">
        <v>42501</v>
      </c>
      <c r="N650" s="242">
        <v>32501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-598746.98</v>
      </c>
      <c r="H651" s="239"/>
      <c r="I651" s="239"/>
      <c r="J651" s="210">
        <v>0</v>
      </c>
      <c r="K651" s="209">
        <v>0</v>
      </c>
      <c r="L651" s="209">
        <v>-598746.98</v>
      </c>
      <c r="M651" s="209">
        <v>0</v>
      </c>
      <c r="N651" s="242">
        <v>0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-427960</v>
      </c>
      <c r="H652" s="239"/>
      <c r="I652" s="239"/>
      <c r="J652" s="210">
        <v>0</v>
      </c>
      <c r="K652" s="209">
        <v>0</v>
      </c>
      <c r="L652" s="209">
        <v>-427960</v>
      </c>
      <c r="M652" s="209">
        <v>0</v>
      </c>
      <c r="N652" s="242">
        <v>0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-479614.85</v>
      </c>
      <c r="H653" s="239"/>
      <c r="I653" s="239"/>
      <c r="J653" s="210">
        <v>0</v>
      </c>
      <c r="K653" s="209">
        <v>0</v>
      </c>
      <c r="L653" s="209">
        <v>-479614.85</v>
      </c>
      <c r="M653" s="209">
        <v>0</v>
      </c>
      <c r="N653" s="242">
        <v>0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-293999</v>
      </c>
      <c r="H654" s="239"/>
      <c r="I654" s="239"/>
      <c r="J654" s="210">
        <v>-28001</v>
      </c>
      <c r="K654" s="209">
        <v>0</v>
      </c>
      <c r="L654" s="209">
        <v>-322000</v>
      </c>
      <c r="M654" s="209">
        <v>126001</v>
      </c>
      <c r="N654" s="242">
        <v>98000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-455449</v>
      </c>
      <c r="H655" s="239"/>
      <c r="I655" s="239"/>
      <c r="J655" s="210">
        <v>0</v>
      </c>
      <c r="K655" s="209">
        <v>0</v>
      </c>
      <c r="L655" s="209">
        <v>-455449</v>
      </c>
      <c r="M655" s="209">
        <v>0</v>
      </c>
      <c r="N655" s="242">
        <v>0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-185885</v>
      </c>
      <c r="H656" s="239"/>
      <c r="I656" s="239"/>
      <c r="J656" s="210">
        <v>0</v>
      </c>
      <c r="K656" s="209">
        <v>0</v>
      </c>
      <c r="L656" s="209">
        <v>-185885</v>
      </c>
      <c r="M656" s="209">
        <v>0</v>
      </c>
      <c r="N656" s="242">
        <v>0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-675247.9</v>
      </c>
      <c r="H657" s="239"/>
      <c r="I657" s="239"/>
      <c r="J657" s="210">
        <v>0</v>
      </c>
      <c r="K657" s="209">
        <v>0</v>
      </c>
      <c r="L657" s="209">
        <v>-675247.9</v>
      </c>
      <c r="M657" s="209">
        <v>0</v>
      </c>
      <c r="N657" s="242">
        <v>0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-85400</v>
      </c>
      <c r="H658" s="239"/>
      <c r="I658" s="239"/>
      <c r="J658" s="210">
        <v>0</v>
      </c>
      <c r="K658" s="209">
        <v>0</v>
      </c>
      <c r="L658" s="209">
        <v>-85400</v>
      </c>
      <c r="M658" s="209">
        <v>0</v>
      </c>
      <c r="N658" s="242">
        <v>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-111218.45</v>
      </c>
      <c r="H659" s="239"/>
      <c r="I659" s="239"/>
      <c r="J659" s="210">
        <v>0</v>
      </c>
      <c r="K659" s="209">
        <v>0</v>
      </c>
      <c r="L659" s="209">
        <v>-111218.45</v>
      </c>
      <c r="M659" s="209">
        <v>0</v>
      </c>
      <c r="N659" s="242">
        <v>0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-309853.21000000002</v>
      </c>
      <c r="H660" s="239"/>
      <c r="I660" s="239"/>
      <c r="J660" s="210">
        <v>0</v>
      </c>
      <c r="K660" s="209">
        <v>0</v>
      </c>
      <c r="L660" s="209">
        <v>-309853.21000000002</v>
      </c>
      <c r="M660" s="209">
        <v>0</v>
      </c>
      <c r="N660" s="242">
        <v>0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-253355.85</v>
      </c>
      <c r="H661" s="239"/>
      <c r="I661" s="239"/>
      <c r="J661" s="210">
        <v>0</v>
      </c>
      <c r="K661" s="209">
        <v>0</v>
      </c>
      <c r="L661" s="209">
        <v>-253355.85</v>
      </c>
      <c r="M661" s="209">
        <v>0</v>
      </c>
      <c r="N661" s="242">
        <v>0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-4003723.5</v>
      </c>
      <c r="H743" s="239"/>
      <c r="I743" s="239"/>
      <c r="J743" s="210">
        <v>0</v>
      </c>
      <c r="K743" s="209">
        <v>0</v>
      </c>
      <c r="L743" s="209">
        <v>-4003723.5</v>
      </c>
      <c r="M743" s="209">
        <v>0</v>
      </c>
      <c r="N743" s="242">
        <v>0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-1850609.24</v>
      </c>
      <c r="H769" s="239"/>
      <c r="I769" s="239"/>
      <c r="J769" s="210">
        <v>0</v>
      </c>
      <c r="K769" s="209">
        <v>0</v>
      </c>
      <c r="L769" s="209">
        <v>-1850609.24</v>
      </c>
      <c r="M769" s="209">
        <v>0</v>
      </c>
      <c r="N769" s="242">
        <v>0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-3009170</v>
      </c>
      <c r="H798" s="239"/>
      <c r="I798" s="239"/>
      <c r="J798" s="210">
        <v>0</v>
      </c>
      <c r="K798" s="209">
        <v>0</v>
      </c>
      <c r="L798" s="209">
        <v>-3009170</v>
      </c>
      <c r="M798" s="209">
        <v>0</v>
      </c>
      <c r="N798" s="242">
        <v>0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-836800</v>
      </c>
      <c r="H843" s="239"/>
      <c r="I843" s="239"/>
      <c r="J843" s="210">
        <v>0</v>
      </c>
      <c r="K843" s="209">
        <v>0</v>
      </c>
      <c r="L843" s="209">
        <v>-836800</v>
      </c>
      <c r="M843" s="209">
        <v>0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-51264</v>
      </c>
      <c r="H846" s="239"/>
      <c r="I846" s="239"/>
      <c r="J846" s="210">
        <v>0</v>
      </c>
      <c r="K846" s="209">
        <v>0</v>
      </c>
      <c r="L846" s="209">
        <v>-51264</v>
      </c>
      <c r="M846" s="209">
        <v>0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-432660</v>
      </c>
      <c r="H850" s="239"/>
      <c r="I850" s="239"/>
      <c r="J850" s="210">
        <v>0</v>
      </c>
      <c r="K850" s="209">
        <v>0</v>
      </c>
      <c r="L850" s="209">
        <v>-432660</v>
      </c>
      <c r="M850" s="209">
        <v>0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-8114080</v>
      </c>
      <c r="H860" s="239"/>
      <c r="I860" s="239"/>
      <c r="J860" s="210">
        <v>0</v>
      </c>
      <c r="K860" s="209">
        <v>0</v>
      </c>
      <c r="L860" s="209">
        <v>-8114080</v>
      </c>
      <c r="M860" s="209">
        <v>0</v>
      </c>
      <c r="N860" s="242">
        <v>0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-948740.88</v>
      </c>
      <c r="H861" s="239"/>
      <c r="I861" s="239"/>
      <c r="J861" s="210">
        <v>0</v>
      </c>
      <c r="K861" s="209">
        <v>0</v>
      </c>
      <c r="L861" s="209">
        <v>-948740.88</v>
      </c>
      <c r="M861" s="209">
        <v>0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-129025513.28</v>
      </c>
      <c r="H862" s="244"/>
      <c r="I862" s="244"/>
      <c r="J862" s="208">
        <v>-1245013.72</v>
      </c>
      <c r="K862" s="207">
        <v>0</v>
      </c>
      <c r="L862" s="207">
        <v>-130270527</v>
      </c>
      <c r="M862" s="207">
        <v>4943561.6500000004</v>
      </c>
      <c r="N862" s="245">
        <v>3698547.93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-278693885.98000002</v>
      </c>
      <c r="H871" s="239"/>
      <c r="I871" s="239"/>
      <c r="J871" s="202">
        <v>-1997809.72</v>
      </c>
      <c r="K871" s="201">
        <v>0</v>
      </c>
      <c r="L871" s="201">
        <v>-280691695.69999999</v>
      </c>
      <c r="M871" s="201">
        <v>7131840.25</v>
      </c>
      <c r="N871" s="253">
        <v>5134030.53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4A592-8747-4EFB-B173-91E500B25B6D}">
  <dimension ref="A1:B7"/>
  <sheetViews>
    <sheetView workbookViewId="0">
      <selection activeCell="D35" sqref="D35"/>
    </sheetView>
  </sheetViews>
  <sheetFormatPr defaultRowHeight="14.5" x14ac:dyDescent="0.35"/>
  <cols>
    <col min="2" max="2" width="10.1796875" bestFit="1" customWidth="1"/>
  </cols>
  <sheetData>
    <row r="1" spans="1:2" x14ac:dyDescent="0.35">
      <c r="A1" t="s">
        <v>117</v>
      </c>
      <c r="B1" t="s">
        <v>118</v>
      </c>
    </row>
    <row r="2" spans="1:2" x14ac:dyDescent="0.35">
      <c r="A2" t="s">
        <v>145</v>
      </c>
      <c r="B2">
        <v>5</v>
      </c>
    </row>
    <row r="3" spans="1:2" x14ac:dyDescent="0.35">
      <c r="A3" t="s">
        <v>149</v>
      </c>
      <c r="B3">
        <v>8</v>
      </c>
    </row>
    <row r="4" spans="1:2" x14ac:dyDescent="0.35">
      <c r="B4">
        <v>10</v>
      </c>
    </row>
    <row r="5" spans="1:2" x14ac:dyDescent="0.35">
      <c r="B5">
        <v>15</v>
      </c>
    </row>
    <row r="6" spans="1:2" x14ac:dyDescent="0.35">
      <c r="B6">
        <v>20</v>
      </c>
    </row>
    <row r="7" spans="1:2" x14ac:dyDescent="0.35">
      <c r="B7">
        <v>25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C9EA3-35B9-4CCF-A585-3208AA0E3E93}">
  <dimension ref="A1:AK70"/>
  <sheetViews>
    <sheetView workbookViewId="0">
      <pane ySplit="3" topLeftCell="A4" activePane="bottomLeft" state="frozen"/>
      <selection pane="bottomLeft" activeCell="O74" sqref="O74"/>
    </sheetView>
  </sheetViews>
  <sheetFormatPr defaultRowHeight="14.5" x14ac:dyDescent="0.35"/>
  <cols>
    <col min="1" max="1" width="8.7265625" bestFit="1" customWidth="1"/>
    <col min="2" max="2" width="10.1796875" bestFit="1" customWidth="1"/>
    <col min="3" max="3" width="34.54296875" customWidth="1"/>
    <col min="4" max="14" width="7.26953125" bestFit="1" customWidth="1"/>
    <col min="15" max="25" width="9.453125" bestFit="1" customWidth="1"/>
    <col min="26" max="26" width="9.453125" customWidth="1"/>
    <col min="27" max="27" width="9.81640625" bestFit="1" customWidth="1"/>
    <col min="28" max="28" width="7.453125" customWidth="1"/>
    <col min="29" max="29" width="38.81640625" bestFit="1" customWidth="1"/>
  </cols>
  <sheetData>
    <row r="1" spans="1:29" ht="5.25" customHeight="1" thickBot="1" x14ac:dyDescent="0.4"/>
    <row r="2" spans="1:29" ht="24" customHeight="1" thickBot="1" x14ac:dyDescent="0.4">
      <c r="O2" s="235" t="s">
        <v>116</v>
      </c>
      <c r="P2" s="236"/>
      <c r="Q2" s="236"/>
      <c r="R2" s="236"/>
      <c r="S2" s="236"/>
      <c r="T2" s="236"/>
      <c r="U2" s="236"/>
      <c r="V2" s="236"/>
      <c r="W2" s="236"/>
      <c r="X2" s="236"/>
      <c r="Y2" s="237"/>
      <c r="Z2" s="179"/>
      <c r="AA2" s="179"/>
      <c r="AB2" s="179"/>
    </row>
    <row r="3" spans="1:29" ht="15" thickBot="1" x14ac:dyDescent="0.4">
      <c r="A3" s="181" t="s">
        <v>117</v>
      </c>
      <c r="B3" s="182" t="s">
        <v>118</v>
      </c>
      <c r="C3" s="183" t="s">
        <v>38</v>
      </c>
      <c r="D3" s="183" t="s">
        <v>119</v>
      </c>
      <c r="E3" s="183" t="s">
        <v>120</v>
      </c>
      <c r="F3" s="183" t="s">
        <v>121</v>
      </c>
      <c r="G3" s="183" t="s">
        <v>122</v>
      </c>
      <c r="H3" s="183" t="s">
        <v>123</v>
      </c>
      <c r="I3" s="183" t="s">
        <v>124</v>
      </c>
      <c r="J3" s="183" t="s">
        <v>125</v>
      </c>
      <c r="K3" s="183" t="s">
        <v>126</v>
      </c>
      <c r="L3" s="183" t="s">
        <v>127</v>
      </c>
      <c r="M3" s="183" t="s">
        <v>128</v>
      </c>
      <c r="N3" s="183" t="s">
        <v>129</v>
      </c>
      <c r="O3" s="184" t="s">
        <v>130</v>
      </c>
      <c r="P3" s="184" t="s">
        <v>131</v>
      </c>
      <c r="Q3" s="184" t="s">
        <v>132</v>
      </c>
      <c r="R3" s="184" t="s">
        <v>133</v>
      </c>
      <c r="S3" s="184" t="s">
        <v>134</v>
      </c>
      <c r="T3" s="184" t="s">
        <v>135</v>
      </c>
      <c r="U3" s="184" t="s">
        <v>136</v>
      </c>
      <c r="V3" s="184" t="s">
        <v>137</v>
      </c>
      <c r="W3" s="184" t="s">
        <v>138</v>
      </c>
      <c r="X3" s="184" t="s">
        <v>139</v>
      </c>
      <c r="Y3" s="184" t="s">
        <v>140</v>
      </c>
      <c r="Z3" s="184" t="s">
        <v>141</v>
      </c>
      <c r="AA3" s="185" t="s">
        <v>142</v>
      </c>
      <c r="AB3" s="185" t="s">
        <v>143</v>
      </c>
      <c r="AC3" s="182" t="s">
        <v>144</v>
      </c>
    </row>
    <row r="4" spans="1:29" ht="15.5" thickTop="1" thickBot="1" x14ac:dyDescent="0.4">
      <c r="A4" s="186" t="s">
        <v>145</v>
      </c>
      <c r="B4" s="187">
        <v>5</v>
      </c>
      <c r="C4" s="187" t="s">
        <v>39</v>
      </c>
      <c r="D4" s="187"/>
      <c r="E4" s="188">
        <v>0.5</v>
      </c>
      <c r="F4" s="187">
        <v>0.5</v>
      </c>
      <c r="G4" s="187">
        <v>1</v>
      </c>
      <c r="H4" s="187">
        <v>1</v>
      </c>
      <c r="I4" s="187"/>
      <c r="J4" s="187"/>
      <c r="K4" s="187"/>
      <c r="L4" s="187"/>
      <c r="M4" s="187"/>
      <c r="N4" s="187"/>
      <c r="O4" s="189">
        <f t="shared" ref="O4:O67" si="0">$D4/$B4</f>
        <v>0</v>
      </c>
      <c r="P4" s="189">
        <f>($D4+$E4)/$B4</f>
        <v>0.1</v>
      </c>
      <c r="Q4" s="189">
        <f>($D4+$E4+$F4)/$B4</f>
        <v>0.2</v>
      </c>
      <c r="R4" s="189">
        <f>($D4+$E4+$F4+$G4)/$B4</f>
        <v>0.4</v>
      </c>
      <c r="S4" s="189">
        <f>($D4+$E4+$F4+$G4+$H4)/$B4</f>
        <v>0.6</v>
      </c>
      <c r="T4" s="189">
        <f>($E4+$F4+$G4+$H4+$I4)/$B4</f>
        <v>0.6</v>
      </c>
      <c r="U4" s="189">
        <f>($F4+$G4+$H4+$I4+$J4)/$B4</f>
        <v>0.5</v>
      </c>
      <c r="V4" s="189">
        <f>($G4+$H4+$I4+$J4+$K4)/$B4</f>
        <v>0.4</v>
      </c>
      <c r="W4" s="189">
        <f>($H4+$I4+$J4+$K4+$L4)/$B4</f>
        <v>0.2</v>
      </c>
      <c r="X4" s="189">
        <f>($I4+$J4+$K4+$L4+$M4)/$B4</f>
        <v>0</v>
      </c>
      <c r="Y4" s="189">
        <f>($J4+$K4+$L4+$M4+$N4)/$B4</f>
        <v>0</v>
      </c>
      <c r="Z4" s="189"/>
      <c r="AA4" s="190">
        <f>SUM(Uträkning!$O4:$Z4)</f>
        <v>3</v>
      </c>
      <c r="AB4" s="190">
        <f>SUM(Uträkning!$D4:$N4)-Uträkning!$AA4</f>
        <v>0</v>
      </c>
      <c r="AC4" s="187"/>
    </row>
    <row r="5" spans="1:29" ht="15.5" thickTop="1" thickBot="1" x14ac:dyDescent="0.4">
      <c r="A5" s="191" t="s">
        <v>145</v>
      </c>
      <c r="B5" s="192">
        <v>5</v>
      </c>
      <c r="C5" s="192" t="s">
        <v>40</v>
      </c>
      <c r="D5" s="192">
        <v>1.05</v>
      </c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89">
        <f>$D5/$B5/2</f>
        <v>0.10500000000000001</v>
      </c>
      <c r="P5" s="189">
        <f t="shared" ref="P5:P20" si="1">($D5+$E5)/$B5</f>
        <v>0.21000000000000002</v>
      </c>
      <c r="Q5" s="189">
        <f t="shared" ref="Q5:Q20" si="2">($D5+$E5+$F5)/$B5</f>
        <v>0.21000000000000002</v>
      </c>
      <c r="R5" s="189">
        <f t="shared" ref="R5:R20" si="3">($D5+$E5+$F5+$G5)/$B5</f>
        <v>0.21000000000000002</v>
      </c>
      <c r="S5" s="189">
        <f t="shared" ref="S5:S20" si="4">($D5+$E5+$F5+$G5+$H5)/$B5</f>
        <v>0.21000000000000002</v>
      </c>
      <c r="T5" s="189">
        <f>($E5+$F5+$G5+$H5+$I5)/$B5+O5</f>
        <v>0.10500000000000001</v>
      </c>
      <c r="U5" s="189">
        <f t="shared" ref="U5:U20" si="5">($F5+$G5+$H5+$I5+$J5)/$B5</f>
        <v>0</v>
      </c>
      <c r="V5" s="189">
        <f t="shared" ref="V5:V20" si="6">($G5+$H5+$I5+$J5+$K5)/$B5</f>
        <v>0</v>
      </c>
      <c r="W5" s="189">
        <f t="shared" ref="W5:W20" si="7">($H5+$I5+$J5+$K5+$L5)/$B5</f>
        <v>0</v>
      </c>
      <c r="X5" s="189">
        <f t="shared" ref="X5:X20" si="8">($I5+$J5+$K5+$L5+$M5)/$B5</f>
        <v>0</v>
      </c>
      <c r="Y5" s="189">
        <f t="shared" ref="Y5:Y20" si="9">($J5+$K5+$L5+$M5+$N5)/$B5</f>
        <v>0</v>
      </c>
      <c r="Z5" s="193"/>
      <c r="AA5" s="194">
        <f>SUM(Uträkning!$O5:$Z5)</f>
        <v>1.05</v>
      </c>
      <c r="AB5" s="194">
        <f>SUM(Uträkning!$D5:$N5)-Uträkning!$AA5</f>
        <v>0</v>
      </c>
      <c r="AC5" s="192"/>
    </row>
    <row r="6" spans="1:29" ht="15.5" thickTop="1" thickBot="1" x14ac:dyDescent="0.4">
      <c r="A6" s="195" t="s">
        <v>145</v>
      </c>
      <c r="B6" s="196">
        <v>5</v>
      </c>
      <c r="C6" s="196" t="s">
        <v>41</v>
      </c>
      <c r="D6" s="196">
        <v>0.9</v>
      </c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89">
        <f t="shared" ref="O6:O20" si="10">$D6/$B6/2</f>
        <v>0.09</v>
      </c>
      <c r="P6" s="189">
        <f t="shared" si="1"/>
        <v>0.18</v>
      </c>
      <c r="Q6" s="189">
        <f t="shared" si="2"/>
        <v>0.18</v>
      </c>
      <c r="R6" s="189">
        <f t="shared" si="3"/>
        <v>0.18</v>
      </c>
      <c r="S6" s="189">
        <f t="shared" si="4"/>
        <v>0.18</v>
      </c>
      <c r="T6" s="189">
        <f t="shared" ref="T6:T20" si="11">($E6+$F6+$G6+$H6+$I6)/$B6+O6</f>
        <v>0.09</v>
      </c>
      <c r="U6" s="189">
        <f t="shared" si="5"/>
        <v>0</v>
      </c>
      <c r="V6" s="189">
        <f t="shared" si="6"/>
        <v>0</v>
      </c>
      <c r="W6" s="189">
        <f t="shared" si="7"/>
        <v>0</v>
      </c>
      <c r="X6" s="189">
        <f t="shared" si="8"/>
        <v>0</v>
      </c>
      <c r="Y6" s="189">
        <f t="shared" si="9"/>
        <v>0</v>
      </c>
      <c r="Z6" s="197"/>
      <c r="AA6" s="198">
        <f>SUM(Uträkning!$O6:$Z6)</f>
        <v>0.9</v>
      </c>
      <c r="AB6" s="198">
        <f>SUM(Uträkning!$D6:$N6)-Uträkning!$AA6</f>
        <v>0</v>
      </c>
      <c r="AC6" s="196"/>
    </row>
    <row r="7" spans="1:29" ht="15.5" thickTop="1" thickBot="1" x14ac:dyDescent="0.4">
      <c r="A7" s="191" t="s">
        <v>145</v>
      </c>
      <c r="B7" s="192">
        <v>5</v>
      </c>
      <c r="C7" s="192" t="s">
        <v>42</v>
      </c>
      <c r="D7" s="192">
        <v>4.8</v>
      </c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89">
        <f t="shared" si="10"/>
        <v>0.48</v>
      </c>
      <c r="P7" s="189">
        <f t="shared" si="1"/>
        <v>0.96</v>
      </c>
      <c r="Q7" s="189">
        <f t="shared" si="2"/>
        <v>0.96</v>
      </c>
      <c r="R7" s="189">
        <f t="shared" si="3"/>
        <v>0.96</v>
      </c>
      <c r="S7" s="189">
        <f t="shared" si="4"/>
        <v>0.96</v>
      </c>
      <c r="T7" s="189">
        <f t="shared" si="11"/>
        <v>0.48</v>
      </c>
      <c r="U7" s="189">
        <f t="shared" si="5"/>
        <v>0</v>
      </c>
      <c r="V7" s="189">
        <f t="shared" si="6"/>
        <v>0</v>
      </c>
      <c r="W7" s="189">
        <f t="shared" si="7"/>
        <v>0</v>
      </c>
      <c r="X7" s="189">
        <f t="shared" si="8"/>
        <v>0</v>
      </c>
      <c r="Y7" s="189">
        <f t="shared" si="9"/>
        <v>0</v>
      </c>
      <c r="Z7" s="193"/>
      <c r="AA7" s="194">
        <f>SUM(Uträkning!$O7:$Z7)</f>
        <v>4.8000000000000007</v>
      </c>
      <c r="AB7" s="194">
        <f>SUM(Uträkning!$D7:$N7)-Uträkning!$AA7</f>
        <v>0</v>
      </c>
      <c r="AC7" s="192"/>
    </row>
    <row r="8" spans="1:29" ht="15.5" thickTop="1" thickBot="1" x14ac:dyDescent="0.4">
      <c r="A8" s="195" t="s">
        <v>145</v>
      </c>
      <c r="B8" s="196">
        <v>5</v>
      </c>
      <c r="C8" s="196" t="s">
        <v>43</v>
      </c>
      <c r="D8" s="196">
        <v>0.372</v>
      </c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89">
        <f t="shared" si="10"/>
        <v>3.7199999999999997E-2</v>
      </c>
      <c r="P8" s="189">
        <f t="shared" si="1"/>
        <v>7.4399999999999994E-2</v>
      </c>
      <c r="Q8" s="189">
        <f t="shared" si="2"/>
        <v>7.4399999999999994E-2</v>
      </c>
      <c r="R8" s="189">
        <f t="shared" si="3"/>
        <v>7.4399999999999994E-2</v>
      </c>
      <c r="S8" s="189">
        <f t="shared" si="4"/>
        <v>7.4399999999999994E-2</v>
      </c>
      <c r="T8" s="189">
        <f t="shared" si="11"/>
        <v>3.7199999999999997E-2</v>
      </c>
      <c r="U8" s="189">
        <f t="shared" si="5"/>
        <v>0</v>
      </c>
      <c r="V8" s="189">
        <f t="shared" si="6"/>
        <v>0</v>
      </c>
      <c r="W8" s="189">
        <f t="shared" si="7"/>
        <v>0</v>
      </c>
      <c r="X8" s="189">
        <f t="shared" si="8"/>
        <v>0</v>
      </c>
      <c r="Y8" s="189">
        <f t="shared" si="9"/>
        <v>0</v>
      </c>
      <c r="Z8" s="197"/>
      <c r="AA8" s="198">
        <f>SUM(Uträkning!$O8:$Z8)</f>
        <v>0.372</v>
      </c>
      <c r="AB8" s="198">
        <f>SUM(Uträkning!$D8:$N8)-Uträkning!$AA8</f>
        <v>0</v>
      </c>
      <c r="AC8" s="196"/>
    </row>
    <row r="9" spans="1:29" ht="15.5" thickTop="1" thickBot="1" x14ac:dyDescent="0.4">
      <c r="A9" s="191" t="s">
        <v>145</v>
      </c>
      <c r="B9" s="192">
        <v>5</v>
      </c>
      <c r="C9" s="192" t="s">
        <v>44</v>
      </c>
      <c r="D9" s="192">
        <v>0.75</v>
      </c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89">
        <f t="shared" si="10"/>
        <v>7.4999999999999997E-2</v>
      </c>
      <c r="P9" s="189">
        <f t="shared" si="1"/>
        <v>0.15</v>
      </c>
      <c r="Q9" s="189">
        <f t="shared" si="2"/>
        <v>0.15</v>
      </c>
      <c r="R9" s="189">
        <f t="shared" si="3"/>
        <v>0.15</v>
      </c>
      <c r="S9" s="189">
        <f t="shared" si="4"/>
        <v>0.15</v>
      </c>
      <c r="T9" s="189">
        <f t="shared" si="11"/>
        <v>7.4999999999999997E-2</v>
      </c>
      <c r="U9" s="189">
        <f t="shared" si="5"/>
        <v>0</v>
      </c>
      <c r="V9" s="189">
        <f t="shared" si="6"/>
        <v>0</v>
      </c>
      <c r="W9" s="189">
        <f t="shared" si="7"/>
        <v>0</v>
      </c>
      <c r="X9" s="189">
        <f t="shared" si="8"/>
        <v>0</v>
      </c>
      <c r="Y9" s="189">
        <f t="shared" si="9"/>
        <v>0</v>
      </c>
      <c r="Z9" s="193"/>
      <c r="AA9" s="194">
        <f>SUM(Uträkning!$O9:$Z9)</f>
        <v>0.75</v>
      </c>
      <c r="AB9" s="194">
        <f>SUM(Uträkning!$D9:$N9)-Uträkning!$AA9</f>
        <v>0</v>
      </c>
      <c r="AC9" s="192"/>
    </row>
    <row r="10" spans="1:29" ht="15.5" thickTop="1" thickBot="1" x14ac:dyDescent="0.4">
      <c r="A10" s="195" t="s">
        <v>145</v>
      </c>
      <c r="B10" s="196">
        <v>5</v>
      </c>
      <c r="C10" s="196" t="s">
        <v>45</v>
      </c>
      <c r="D10" s="196">
        <v>1.9</v>
      </c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89">
        <f t="shared" si="10"/>
        <v>0.19</v>
      </c>
      <c r="P10" s="189">
        <f t="shared" si="1"/>
        <v>0.38</v>
      </c>
      <c r="Q10" s="189">
        <f t="shared" si="2"/>
        <v>0.38</v>
      </c>
      <c r="R10" s="189">
        <f t="shared" si="3"/>
        <v>0.38</v>
      </c>
      <c r="S10" s="189">
        <f t="shared" si="4"/>
        <v>0.38</v>
      </c>
      <c r="T10" s="189">
        <f t="shared" si="11"/>
        <v>0.19</v>
      </c>
      <c r="U10" s="189">
        <f t="shared" si="5"/>
        <v>0</v>
      </c>
      <c r="V10" s="189">
        <f t="shared" si="6"/>
        <v>0</v>
      </c>
      <c r="W10" s="189">
        <f t="shared" si="7"/>
        <v>0</v>
      </c>
      <c r="X10" s="189">
        <f t="shared" si="8"/>
        <v>0</v>
      </c>
      <c r="Y10" s="189">
        <f t="shared" si="9"/>
        <v>0</v>
      </c>
      <c r="Z10" s="197"/>
      <c r="AA10" s="198">
        <f>SUM(Uträkning!$O10:$Z10)</f>
        <v>1.9</v>
      </c>
      <c r="AB10" s="198">
        <f>SUM(Uträkning!$D10:$N10)-Uträkning!$AA10</f>
        <v>0</v>
      </c>
      <c r="AC10" s="196"/>
    </row>
    <row r="11" spans="1:29" ht="15.5" thickTop="1" thickBot="1" x14ac:dyDescent="0.4">
      <c r="A11" s="191" t="s">
        <v>145</v>
      </c>
      <c r="B11" s="192">
        <v>5</v>
      </c>
      <c r="C11" s="192" t="s">
        <v>46</v>
      </c>
      <c r="D11" s="192">
        <v>2.5</v>
      </c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89">
        <f t="shared" si="10"/>
        <v>0.25</v>
      </c>
      <c r="P11" s="189">
        <f t="shared" si="1"/>
        <v>0.5</v>
      </c>
      <c r="Q11" s="189">
        <f t="shared" si="2"/>
        <v>0.5</v>
      </c>
      <c r="R11" s="189">
        <f t="shared" si="3"/>
        <v>0.5</v>
      </c>
      <c r="S11" s="189">
        <f t="shared" si="4"/>
        <v>0.5</v>
      </c>
      <c r="T11" s="189">
        <f t="shared" si="11"/>
        <v>0.25</v>
      </c>
      <c r="U11" s="189">
        <f t="shared" si="5"/>
        <v>0</v>
      </c>
      <c r="V11" s="189">
        <f t="shared" si="6"/>
        <v>0</v>
      </c>
      <c r="W11" s="189">
        <f t="shared" si="7"/>
        <v>0</v>
      </c>
      <c r="X11" s="189">
        <f t="shared" si="8"/>
        <v>0</v>
      </c>
      <c r="Y11" s="189">
        <f t="shared" si="9"/>
        <v>0</v>
      </c>
      <c r="Z11" s="193"/>
      <c r="AA11" s="194">
        <f>SUM(Uträkning!$O11:$Z11)</f>
        <v>2.5</v>
      </c>
      <c r="AB11" s="194">
        <f>SUM(Uträkning!$D11:$N11)-Uträkning!$AA11</f>
        <v>0</v>
      </c>
      <c r="AC11" s="192"/>
    </row>
    <row r="12" spans="1:29" ht="15.5" thickTop="1" thickBot="1" x14ac:dyDescent="0.4">
      <c r="A12" s="195" t="s">
        <v>145</v>
      </c>
      <c r="B12" s="196">
        <v>5</v>
      </c>
      <c r="C12" s="196" t="s">
        <v>47</v>
      </c>
      <c r="D12" s="196">
        <v>2</v>
      </c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89">
        <f t="shared" si="10"/>
        <v>0.2</v>
      </c>
      <c r="P12" s="189">
        <f t="shared" si="1"/>
        <v>0.4</v>
      </c>
      <c r="Q12" s="189">
        <f t="shared" si="2"/>
        <v>0.4</v>
      </c>
      <c r="R12" s="189">
        <f t="shared" si="3"/>
        <v>0.4</v>
      </c>
      <c r="S12" s="189">
        <f t="shared" si="4"/>
        <v>0.4</v>
      </c>
      <c r="T12" s="189">
        <f t="shared" si="11"/>
        <v>0.2</v>
      </c>
      <c r="U12" s="189">
        <f t="shared" si="5"/>
        <v>0</v>
      </c>
      <c r="V12" s="189">
        <f t="shared" si="6"/>
        <v>0</v>
      </c>
      <c r="W12" s="189">
        <f t="shared" si="7"/>
        <v>0</v>
      </c>
      <c r="X12" s="189">
        <f t="shared" si="8"/>
        <v>0</v>
      </c>
      <c r="Y12" s="189">
        <f t="shared" si="9"/>
        <v>0</v>
      </c>
      <c r="Z12" s="197"/>
      <c r="AA12" s="198">
        <f>SUM(Uträkning!$O12:$Z12)</f>
        <v>1.9999999999999998</v>
      </c>
      <c r="AB12" s="198">
        <f>SUM(Uträkning!$D12:$N12)-Uträkning!$AA12</f>
        <v>0</v>
      </c>
      <c r="AC12" s="196"/>
    </row>
    <row r="13" spans="1:29" ht="15.5" thickTop="1" thickBot="1" x14ac:dyDescent="0.4">
      <c r="A13" s="191" t="s">
        <v>145</v>
      </c>
      <c r="B13" s="192">
        <v>5</v>
      </c>
      <c r="C13" s="192" t="s">
        <v>48</v>
      </c>
      <c r="D13" s="192">
        <v>0.6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89">
        <f t="shared" si="10"/>
        <v>0.06</v>
      </c>
      <c r="P13" s="189">
        <f t="shared" si="1"/>
        <v>0.12</v>
      </c>
      <c r="Q13" s="189">
        <f t="shared" si="2"/>
        <v>0.12</v>
      </c>
      <c r="R13" s="189">
        <f t="shared" si="3"/>
        <v>0.12</v>
      </c>
      <c r="S13" s="189">
        <f t="shared" si="4"/>
        <v>0.12</v>
      </c>
      <c r="T13" s="189">
        <f t="shared" si="11"/>
        <v>0.06</v>
      </c>
      <c r="U13" s="189">
        <f t="shared" si="5"/>
        <v>0</v>
      </c>
      <c r="V13" s="189">
        <f t="shared" si="6"/>
        <v>0</v>
      </c>
      <c r="W13" s="189">
        <f t="shared" si="7"/>
        <v>0</v>
      </c>
      <c r="X13" s="189">
        <f t="shared" si="8"/>
        <v>0</v>
      </c>
      <c r="Y13" s="189">
        <f t="shared" si="9"/>
        <v>0</v>
      </c>
      <c r="Z13" s="193"/>
      <c r="AA13" s="194">
        <f>SUM(Uträkning!$O13:$Z13)</f>
        <v>0.60000000000000009</v>
      </c>
      <c r="AB13" s="194">
        <f>SUM(Uträkning!$D13:$N13)-Uträkning!$AA13</f>
        <v>0</v>
      </c>
      <c r="AC13" s="192"/>
    </row>
    <row r="14" spans="1:29" ht="15.5" thickTop="1" thickBot="1" x14ac:dyDescent="0.4">
      <c r="A14" s="195" t="s">
        <v>145</v>
      </c>
      <c r="B14" s="196">
        <v>5</v>
      </c>
      <c r="C14" s="196" t="s">
        <v>49</v>
      </c>
      <c r="D14" s="196">
        <v>1.5</v>
      </c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89">
        <f t="shared" si="10"/>
        <v>0.15</v>
      </c>
      <c r="P14" s="189">
        <f t="shared" si="1"/>
        <v>0.3</v>
      </c>
      <c r="Q14" s="189">
        <f t="shared" si="2"/>
        <v>0.3</v>
      </c>
      <c r="R14" s="189">
        <f t="shared" si="3"/>
        <v>0.3</v>
      </c>
      <c r="S14" s="189">
        <f t="shared" si="4"/>
        <v>0.3</v>
      </c>
      <c r="T14" s="189">
        <f t="shared" si="11"/>
        <v>0.15</v>
      </c>
      <c r="U14" s="189">
        <f t="shared" si="5"/>
        <v>0</v>
      </c>
      <c r="V14" s="189">
        <f t="shared" si="6"/>
        <v>0</v>
      </c>
      <c r="W14" s="189">
        <f t="shared" si="7"/>
        <v>0</v>
      </c>
      <c r="X14" s="189">
        <f t="shared" si="8"/>
        <v>0</v>
      </c>
      <c r="Y14" s="189">
        <f t="shared" si="9"/>
        <v>0</v>
      </c>
      <c r="Z14" s="197"/>
      <c r="AA14" s="198">
        <f>SUM(Uträkning!$O14:$Z14)</f>
        <v>1.5</v>
      </c>
      <c r="AB14" s="198">
        <f>SUM(Uträkning!$D14:$N14)-Uträkning!$AA14</f>
        <v>0</v>
      </c>
      <c r="AC14" s="196"/>
    </row>
    <row r="15" spans="1:29" ht="15.5" thickTop="1" thickBot="1" x14ac:dyDescent="0.4">
      <c r="A15" s="191" t="s">
        <v>145</v>
      </c>
      <c r="B15" s="192">
        <v>5</v>
      </c>
      <c r="C15" s="192" t="s">
        <v>146</v>
      </c>
      <c r="D15" s="192">
        <v>5.835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89">
        <f t="shared" si="10"/>
        <v>0.58350000000000002</v>
      </c>
      <c r="P15" s="189">
        <f t="shared" si="1"/>
        <v>1.167</v>
      </c>
      <c r="Q15" s="189">
        <f t="shared" si="2"/>
        <v>1.167</v>
      </c>
      <c r="R15" s="189">
        <f t="shared" si="3"/>
        <v>1.167</v>
      </c>
      <c r="S15" s="189">
        <f t="shared" si="4"/>
        <v>1.167</v>
      </c>
      <c r="T15" s="189">
        <f t="shared" si="11"/>
        <v>0.58350000000000002</v>
      </c>
      <c r="U15" s="189">
        <f t="shared" si="5"/>
        <v>0</v>
      </c>
      <c r="V15" s="189">
        <f t="shared" si="6"/>
        <v>0</v>
      </c>
      <c r="W15" s="189">
        <f t="shared" si="7"/>
        <v>0</v>
      </c>
      <c r="X15" s="189">
        <f t="shared" si="8"/>
        <v>0</v>
      </c>
      <c r="Y15" s="189">
        <f t="shared" si="9"/>
        <v>0</v>
      </c>
      <c r="Z15" s="193"/>
      <c r="AA15" s="194">
        <f>SUM(Uträkning!$O15:$Z15)</f>
        <v>5.835</v>
      </c>
      <c r="AB15" s="194">
        <f>SUM(Uträkning!$D15:$N15)-Uträkning!$AA15</f>
        <v>0</v>
      </c>
      <c r="AC15" s="192"/>
    </row>
    <row r="16" spans="1:29" ht="15.5" thickTop="1" thickBot="1" x14ac:dyDescent="0.4">
      <c r="A16" s="195" t="s">
        <v>145</v>
      </c>
      <c r="B16" s="196">
        <v>5</v>
      </c>
      <c r="C16" s="196" t="s">
        <v>50</v>
      </c>
      <c r="D16" s="196">
        <v>1.5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89">
        <f t="shared" si="10"/>
        <v>0.15</v>
      </c>
      <c r="P16" s="189">
        <f t="shared" si="1"/>
        <v>0.3</v>
      </c>
      <c r="Q16" s="189">
        <f t="shared" si="2"/>
        <v>0.3</v>
      </c>
      <c r="R16" s="189">
        <f t="shared" si="3"/>
        <v>0.3</v>
      </c>
      <c r="S16" s="189">
        <f t="shared" si="4"/>
        <v>0.3</v>
      </c>
      <c r="T16" s="189">
        <f t="shared" si="11"/>
        <v>0.15</v>
      </c>
      <c r="U16" s="189">
        <f t="shared" si="5"/>
        <v>0</v>
      </c>
      <c r="V16" s="189">
        <f t="shared" si="6"/>
        <v>0</v>
      </c>
      <c r="W16" s="189">
        <f t="shared" si="7"/>
        <v>0</v>
      </c>
      <c r="X16" s="189">
        <f t="shared" si="8"/>
        <v>0</v>
      </c>
      <c r="Y16" s="189">
        <f t="shared" si="9"/>
        <v>0</v>
      </c>
      <c r="Z16" s="197"/>
      <c r="AA16" s="198">
        <f>SUM(Uträkning!$O16:$Z16)</f>
        <v>1.5</v>
      </c>
      <c r="AB16" s="198">
        <f>SUM(Uträkning!$D16:$N16)-Uträkning!$AA16</f>
        <v>0</v>
      </c>
      <c r="AC16" s="196"/>
    </row>
    <row r="17" spans="1:37" ht="15.5" thickTop="1" thickBot="1" x14ac:dyDescent="0.4">
      <c r="A17" s="191" t="s">
        <v>145</v>
      </c>
      <c r="B17" s="192">
        <v>5</v>
      </c>
      <c r="C17" s="192" t="s">
        <v>51</v>
      </c>
      <c r="D17" s="192">
        <v>2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89">
        <f t="shared" si="10"/>
        <v>0.2</v>
      </c>
      <c r="P17" s="189">
        <f t="shared" si="1"/>
        <v>0.4</v>
      </c>
      <c r="Q17" s="189">
        <f t="shared" si="2"/>
        <v>0.4</v>
      </c>
      <c r="R17" s="189">
        <f t="shared" si="3"/>
        <v>0.4</v>
      </c>
      <c r="S17" s="189">
        <f t="shared" si="4"/>
        <v>0.4</v>
      </c>
      <c r="T17" s="189">
        <f t="shared" si="11"/>
        <v>0.2</v>
      </c>
      <c r="U17" s="189">
        <f t="shared" si="5"/>
        <v>0</v>
      </c>
      <c r="V17" s="189">
        <f t="shared" si="6"/>
        <v>0</v>
      </c>
      <c r="W17" s="189">
        <f t="shared" si="7"/>
        <v>0</v>
      </c>
      <c r="X17" s="189">
        <f t="shared" si="8"/>
        <v>0</v>
      </c>
      <c r="Y17" s="189">
        <f t="shared" si="9"/>
        <v>0</v>
      </c>
      <c r="Z17" s="193"/>
      <c r="AA17" s="194">
        <f>SUM(Uträkning!$O17:$Z17)</f>
        <v>1.9999999999999998</v>
      </c>
      <c r="AB17" s="194">
        <f>SUM(Uträkning!$D17:$N17)-Uträkning!$AA17</f>
        <v>0</v>
      </c>
      <c r="AC17" s="192"/>
    </row>
    <row r="18" spans="1:37" ht="15.5" thickTop="1" thickBot="1" x14ac:dyDescent="0.4">
      <c r="A18" s="195" t="s">
        <v>145</v>
      </c>
      <c r="B18" s="196">
        <v>5</v>
      </c>
      <c r="C18" s="196" t="s">
        <v>52</v>
      </c>
      <c r="D18" s="196">
        <v>1.7</v>
      </c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89">
        <f t="shared" si="10"/>
        <v>0.16999999999999998</v>
      </c>
      <c r="P18" s="189">
        <f t="shared" si="1"/>
        <v>0.33999999999999997</v>
      </c>
      <c r="Q18" s="189">
        <f t="shared" si="2"/>
        <v>0.33999999999999997</v>
      </c>
      <c r="R18" s="189">
        <f t="shared" si="3"/>
        <v>0.33999999999999997</v>
      </c>
      <c r="S18" s="189">
        <f t="shared" si="4"/>
        <v>0.33999999999999997</v>
      </c>
      <c r="T18" s="189">
        <f t="shared" si="11"/>
        <v>0.16999999999999998</v>
      </c>
      <c r="U18" s="189">
        <f t="shared" si="5"/>
        <v>0</v>
      </c>
      <c r="V18" s="189">
        <f t="shared" si="6"/>
        <v>0</v>
      </c>
      <c r="W18" s="189">
        <f t="shared" si="7"/>
        <v>0</v>
      </c>
      <c r="X18" s="189">
        <f t="shared" si="8"/>
        <v>0</v>
      </c>
      <c r="Y18" s="189">
        <f t="shared" si="9"/>
        <v>0</v>
      </c>
      <c r="Z18" s="197"/>
      <c r="AA18" s="198">
        <f>SUM(Uträkning!$O18:$Z18)</f>
        <v>1.6999999999999997</v>
      </c>
      <c r="AB18" s="198">
        <f>SUM(Uträkning!$D18:$N18)-Uträkning!$AA18</f>
        <v>0</v>
      </c>
      <c r="AC18" s="196"/>
    </row>
    <row r="19" spans="1:37" ht="15.5" thickTop="1" thickBot="1" x14ac:dyDescent="0.4">
      <c r="A19" s="191" t="s">
        <v>145</v>
      </c>
      <c r="B19" s="192">
        <v>5</v>
      </c>
      <c r="C19" s="192" t="s">
        <v>53</v>
      </c>
      <c r="D19" s="192">
        <v>5.5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89">
        <f t="shared" si="10"/>
        <v>0.55000000000000004</v>
      </c>
      <c r="P19" s="189">
        <f t="shared" si="1"/>
        <v>1.1000000000000001</v>
      </c>
      <c r="Q19" s="189">
        <f t="shared" si="2"/>
        <v>1.1000000000000001</v>
      </c>
      <c r="R19" s="189">
        <f t="shared" si="3"/>
        <v>1.1000000000000001</v>
      </c>
      <c r="S19" s="189">
        <f t="shared" si="4"/>
        <v>1.1000000000000001</v>
      </c>
      <c r="T19" s="189">
        <f t="shared" si="11"/>
        <v>0.55000000000000004</v>
      </c>
      <c r="U19" s="189">
        <f t="shared" si="5"/>
        <v>0</v>
      </c>
      <c r="V19" s="189">
        <f t="shared" si="6"/>
        <v>0</v>
      </c>
      <c r="W19" s="189">
        <f t="shared" si="7"/>
        <v>0</v>
      </c>
      <c r="X19" s="189">
        <f t="shared" si="8"/>
        <v>0</v>
      </c>
      <c r="Y19" s="189">
        <f t="shared" si="9"/>
        <v>0</v>
      </c>
      <c r="Z19" s="193"/>
      <c r="AA19" s="194">
        <f>SUM(Uträkning!$O19:$Z19)</f>
        <v>5.5</v>
      </c>
      <c r="AB19" s="194">
        <f>SUM(Uträkning!$D19:$N19)-Uträkning!$AA19</f>
        <v>0</v>
      </c>
      <c r="AC19" s="192"/>
    </row>
    <row r="20" spans="1:37" ht="15.5" thickTop="1" thickBot="1" x14ac:dyDescent="0.4">
      <c r="A20" s="195" t="s">
        <v>145</v>
      </c>
      <c r="B20" s="196">
        <v>5</v>
      </c>
      <c r="C20" s="196" t="s">
        <v>54</v>
      </c>
      <c r="D20" s="196">
        <v>10</v>
      </c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89">
        <f t="shared" si="10"/>
        <v>1</v>
      </c>
      <c r="P20" s="189">
        <f t="shared" si="1"/>
        <v>2</v>
      </c>
      <c r="Q20" s="189">
        <f t="shared" si="2"/>
        <v>2</v>
      </c>
      <c r="R20" s="189">
        <f t="shared" si="3"/>
        <v>2</v>
      </c>
      <c r="S20" s="189">
        <f t="shared" si="4"/>
        <v>2</v>
      </c>
      <c r="T20" s="189">
        <f t="shared" si="11"/>
        <v>1</v>
      </c>
      <c r="U20" s="189">
        <f t="shared" si="5"/>
        <v>0</v>
      </c>
      <c r="V20" s="189">
        <f t="shared" si="6"/>
        <v>0</v>
      </c>
      <c r="W20" s="189">
        <f t="shared" si="7"/>
        <v>0</v>
      </c>
      <c r="X20" s="189">
        <f t="shared" si="8"/>
        <v>0</v>
      </c>
      <c r="Y20" s="189">
        <f t="shared" si="9"/>
        <v>0</v>
      </c>
      <c r="Z20" s="197"/>
      <c r="AA20" s="198">
        <f>SUM(Uträkning!$O20:$Z20)</f>
        <v>10</v>
      </c>
      <c r="AB20" s="198">
        <f>SUM(Uträkning!$D20:$N20)-Uträkning!$AA20</f>
        <v>0</v>
      </c>
      <c r="AC20" s="196"/>
    </row>
    <row r="21" spans="1:37" ht="15.5" thickTop="1" thickBot="1" x14ac:dyDescent="0.4">
      <c r="A21" s="191" t="s">
        <v>145</v>
      </c>
      <c r="B21" s="192">
        <v>10</v>
      </c>
      <c r="C21" s="192" t="s">
        <v>55</v>
      </c>
      <c r="D21" s="192"/>
      <c r="E21" s="192"/>
      <c r="F21" s="192"/>
      <c r="G21" s="192">
        <v>10</v>
      </c>
      <c r="H21" s="192"/>
      <c r="I21" s="192"/>
      <c r="J21" s="192"/>
      <c r="K21" s="192">
        <v>10</v>
      </c>
      <c r="L21" s="192"/>
      <c r="M21" s="192"/>
      <c r="N21" s="192"/>
      <c r="O21" s="189">
        <f t="shared" si="0"/>
        <v>0</v>
      </c>
      <c r="P21" s="189">
        <f t="shared" ref="P21:P67" si="12">($D21+$E21)/$B21</f>
        <v>0</v>
      </c>
      <c r="Q21" s="189">
        <f t="shared" ref="Q21:Q67" si="13">($D21+$E21+$F21)/$B21</f>
        <v>0</v>
      </c>
      <c r="R21" s="189">
        <f t="shared" ref="R21:R67" si="14">($D21+$E21+$F21+$G21)/$B21</f>
        <v>1</v>
      </c>
      <c r="S21" s="189">
        <f t="shared" ref="S21:S67" si="15">($D21+$E21+$F21+$G21+$H21)/$B21</f>
        <v>1</v>
      </c>
      <c r="T21" s="189">
        <f t="shared" ref="T21:T67" si="16">($D21+$E21+$F21+$G21+$H21+$I21)/$B21</f>
        <v>1</v>
      </c>
      <c r="U21" s="189">
        <f t="shared" ref="U21:U67" si="17">($D21+$E21+$F21+$G21+$H21+$I21+$J21)/$B21</f>
        <v>1</v>
      </c>
      <c r="V21" s="189">
        <f t="shared" ref="V21:V67" si="18">($D21+$E21+$F21+$G21+$H21+$I21+$J21+$K21)/$B21</f>
        <v>2</v>
      </c>
      <c r="W21" s="189">
        <f>($D21+$E21+$F21+$G21+$H21+$I21+$J21+$K21+$L21)/$B21</f>
        <v>2</v>
      </c>
      <c r="X21" s="189">
        <f>($D21+$E21+$F21+$G21+$H21+$I21+$J21+$K21+$L21+$M21)/$B21</f>
        <v>2</v>
      </c>
      <c r="Y21" s="189">
        <f>($E21+$F21+$G21+$H21+$I21+$J21+$K21+$L21+$M21+$N21)/$B21</f>
        <v>2</v>
      </c>
      <c r="Z21" s="193">
        <v>8</v>
      </c>
      <c r="AA21" s="194">
        <f>SUM(Uträkning!$O21:$Z21)</f>
        <v>20</v>
      </c>
      <c r="AB21" s="194">
        <f>SUM(Uträkning!$D21:$N21)-Uträkning!$AA21</f>
        <v>0</v>
      </c>
      <c r="AC21" s="192"/>
    </row>
    <row r="22" spans="1:37" ht="15.5" thickTop="1" thickBot="1" x14ac:dyDescent="0.4">
      <c r="A22" s="195" t="s">
        <v>145</v>
      </c>
      <c r="B22" s="196">
        <v>5</v>
      </c>
      <c r="C22" s="196" t="s">
        <v>56</v>
      </c>
      <c r="D22" s="196">
        <v>6.8000000000000005E-2</v>
      </c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89">
        <f t="shared" ref="O22:O25" si="19">$D22/$B22/2</f>
        <v>6.8000000000000005E-3</v>
      </c>
      <c r="P22" s="189">
        <f t="shared" si="12"/>
        <v>1.3600000000000001E-2</v>
      </c>
      <c r="Q22" s="189">
        <f t="shared" si="13"/>
        <v>1.3600000000000001E-2</v>
      </c>
      <c r="R22" s="189">
        <f t="shared" si="14"/>
        <v>1.3600000000000001E-2</v>
      </c>
      <c r="S22" s="189">
        <f t="shared" si="15"/>
        <v>1.3600000000000001E-2</v>
      </c>
      <c r="T22" s="189">
        <f t="shared" ref="T22:T25" si="20">($E22+$F22+$G22+$H22+$I22)/$B22+O22</f>
        <v>6.8000000000000005E-3</v>
      </c>
      <c r="U22" s="189">
        <f t="shared" ref="U22:U25" si="21">($F22+$G22+$H22+$I22+$J22)/$B22</f>
        <v>0</v>
      </c>
      <c r="V22" s="189">
        <f t="shared" ref="V22:V25" si="22">($G22+$H22+$I22+$J22+$K22)/$B22</f>
        <v>0</v>
      </c>
      <c r="W22" s="189">
        <f t="shared" ref="W22:W25" si="23">($H22+$I22+$J22+$K22+$L22)/$B22</f>
        <v>0</v>
      </c>
      <c r="X22" s="189">
        <f t="shared" ref="X22:X25" si="24">($I22+$J22+$K22+$L22+$M22)/$B22</f>
        <v>0</v>
      </c>
      <c r="Y22" s="189">
        <f t="shared" ref="Y22:Y25" si="25">($J22+$K22+$L22+$M22+$N22)/$B22</f>
        <v>0</v>
      </c>
      <c r="Z22" s="197"/>
      <c r="AA22" s="198">
        <f>SUM(Uträkning!$O22:$Z22)</f>
        <v>6.8000000000000005E-2</v>
      </c>
      <c r="AB22" s="198">
        <f>SUM(Uträkning!$D22:$N22)-Uträkning!$AA22</f>
        <v>0</v>
      </c>
      <c r="AC22" s="196"/>
    </row>
    <row r="23" spans="1:37" ht="15.5" thickTop="1" thickBot="1" x14ac:dyDescent="0.4">
      <c r="A23" s="191" t="s">
        <v>145</v>
      </c>
      <c r="B23" s="192">
        <v>5</v>
      </c>
      <c r="C23" s="192" t="s">
        <v>57</v>
      </c>
      <c r="D23" s="192">
        <v>0.09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89">
        <f t="shared" si="19"/>
        <v>8.9999999999999993E-3</v>
      </c>
      <c r="P23" s="189">
        <f t="shared" si="12"/>
        <v>1.7999999999999999E-2</v>
      </c>
      <c r="Q23" s="189">
        <f t="shared" si="13"/>
        <v>1.7999999999999999E-2</v>
      </c>
      <c r="R23" s="189">
        <f t="shared" si="14"/>
        <v>1.7999999999999999E-2</v>
      </c>
      <c r="S23" s="189">
        <f t="shared" si="15"/>
        <v>1.7999999999999999E-2</v>
      </c>
      <c r="T23" s="189">
        <f t="shared" si="20"/>
        <v>8.9999999999999993E-3</v>
      </c>
      <c r="U23" s="189">
        <f t="shared" si="21"/>
        <v>0</v>
      </c>
      <c r="V23" s="189">
        <f t="shared" si="22"/>
        <v>0</v>
      </c>
      <c r="W23" s="189">
        <f t="shared" si="23"/>
        <v>0</v>
      </c>
      <c r="X23" s="189">
        <f t="shared" si="24"/>
        <v>0</v>
      </c>
      <c r="Y23" s="189">
        <f t="shared" si="25"/>
        <v>0</v>
      </c>
      <c r="Z23" s="193"/>
      <c r="AA23" s="194">
        <f>SUM(Uträkning!$O23:$Z23)</f>
        <v>0.09</v>
      </c>
      <c r="AB23" s="194">
        <f>SUM(Uträkning!$D23:$N23)-Uträkning!$AA23</f>
        <v>0</v>
      </c>
      <c r="AC23" s="192"/>
    </row>
    <row r="24" spans="1:37" ht="15.5" thickTop="1" thickBot="1" x14ac:dyDescent="0.4">
      <c r="A24" s="195" t="s">
        <v>145</v>
      </c>
      <c r="B24" s="196">
        <v>5</v>
      </c>
      <c r="C24" s="196" t="s">
        <v>58</v>
      </c>
      <c r="D24" s="196">
        <v>0.08</v>
      </c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89">
        <f t="shared" si="19"/>
        <v>8.0000000000000002E-3</v>
      </c>
      <c r="P24" s="189">
        <f t="shared" si="12"/>
        <v>1.6E-2</v>
      </c>
      <c r="Q24" s="189">
        <f t="shared" si="13"/>
        <v>1.6E-2</v>
      </c>
      <c r="R24" s="189">
        <f t="shared" si="14"/>
        <v>1.6E-2</v>
      </c>
      <c r="S24" s="189">
        <f t="shared" si="15"/>
        <v>1.6E-2</v>
      </c>
      <c r="T24" s="189">
        <f t="shared" si="20"/>
        <v>8.0000000000000002E-3</v>
      </c>
      <c r="U24" s="189">
        <f t="shared" si="21"/>
        <v>0</v>
      </c>
      <c r="V24" s="189">
        <f t="shared" si="22"/>
        <v>0</v>
      </c>
      <c r="W24" s="189">
        <f t="shared" si="23"/>
        <v>0</v>
      </c>
      <c r="X24" s="189">
        <f t="shared" si="24"/>
        <v>0</v>
      </c>
      <c r="Y24" s="189">
        <f t="shared" si="25"/>
        <v>0</v>
      </c>
      <c r="Z24" s="197"/>
      <c r="AA24" s="198">
        <f>SUM(Uträkning!$O24:$Z24)</f>
        <v>8.0000000000000016E-2</v>
      </c>
      <c r="AB24" s="198">
        <f>SUM(Uträkning!$D24:$N24)-Uträkning!$AA24</f>
        <v>0</v>
      </c>
      <c r="AC24" s="196"/>
    </row>
    <row r="25" spans="1:37" ht="15.5" thickTop="1" thickBot="1" x14ac:dyDescent="0.4">
      <c r="A25" s="191" t="s">
        <v>145</v>
      </c>
      <c r="B25" s="192">
        <v>5</v>
      </c>
      <c r="C25" s="192" t="s">
        <v>58</v>
      </c>
      <c r="D25" s="192">
        <v>0.15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89">
        <f t="shared" si="19"/>
        <v>1.4999999999999999E-2</v>
      </c>
      <c r="P25" s="189">
        <f t="shared" si="12"/>
        <v>0.03</v>
      </c>
      <c r="Q25" s="189">
        <f t="shared" si="13"/>
        <v>0.03</v>
      </c>
      <c r="R25" s="189">
        <f t="shared" si="14"/>
        <v>0.03</v>
      </c>
      <c r="S25" s="189">
        <f t="shared" si="15"/>
        <v>0.03</v>
      </c>
      <c r="T25" s="189">
        <f t="shared" si="20"/>
        <v>1.4999999999999999E-2</v>
      </c>
      <c r="U25" s="189">
        <f t="shared" si="21"/>
        <v>0</v>
      </c>
      <c r="V25" s="189">
        <f t="shared" si="22"/>
        <v>0</v>
      </c>
      <c r="W25" s="189">
        <f t="shared" si="23"/>
        <v>0</v>
      </c>
      <c r="X25" s="189">
        <f t="shared" si="24"/>
        <v>0</v>
      </c>
      <c r="Y25" s="189">
        <f t="shared" si="25"/>
        <v>0</v>
      </c>
      <c r="Z25" s="193"/>
      <c r="AA25" s="194">
        <f>SUM(Uträkning!$O25:$Z25)</f>
        <v>0.15000000000000002</v>
      </c>
      <c r="AB25" s="194">
        <f>SUM(Uträkning!$D25:$N25)-Uträkning!$AA25</f>
        <v>0</v>
      </c>
      <c r="AC25" s="192"/>
    </row>
    <row r="26" spans="1:37" ht="15.5" thickTop="1" thickBot="1" x14ac:dyDescent="0.4">
      <c r="A26" s="195" t="s">
        <v>145</v>
      </c>
      <c r="B26" s="196">
        <v>8</v>
      </c>
      <c r="C26" s="196" t="s">
        <v>59</v>
      </c>
      <c r="D26" s="196"/>
      <c r="E26" s="196">
        <v>2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89">
        <f t="shared" si="0"/>
        <v>0</v>
      </c>
      <c r="P26" s="189">
        <f t="shared" si="12"/>
        <v>0.25</v>
      </c>
      <c r="Q26" s="189">
        <f t="shared" si="13"/>
        <v>0.25</v>
      </c>
      <c r="R26" s="189">
        <f t="shared" si="14"/>
        <v>0.25</v>
      </c>
      <c r="S26" s="189">
        <f t="shared" si="15"/>
        <v>0.25</v>
      </c>
      <c r="T26" s="189">
        <f t="shared" si="16"/>
        <v>0.25</v>
      </c>
      <c r="U26" s="189">
        <f t="shared" si="17"/>
        <v>0.25</v>
      </c>
      <c r="V26" s="189">
        <f t="shared" si="18"/>
        <v>0.25</v>
      </c>
      <c r="W26" s="189">
        <f t="shared" ref="W26:W53" si="26">($E26+$F26+$G26+$H26+$I26+$J26+$K26+$L26)/$B26</f>
        <v>0.25</v>
      </c>
      <c r="X26" s="189">
        <f t="shared" ref="X26:X53" si="27">($F26+$G26+$H26+$I26+$J26+$K26+$L26+$M26)/$B26</f>
        <v>0</v>
      </c>
      <c r="Y26" s="189">
        <f t="shared" ref="Y26:Y53" si="28">($G26+$H26+$I26+$J26+$K26+$L26+$M26+$N26)/$B26</f>
        <v>0</v>
      </c>
      <c r="Z26" s="197"/>
      <c r="AA26" s="198">
        <f>SUM(Uträkning!$O26:$Z26)</f>
        <v>2</v>
      </c>
      <c r="AB26" s="198">
        <f>SUM(Uträkning!$D26:$N26)-Uträkning!$AA26</f>
        <v>0</v>
      </c>
      <c r="AC26" s="196"/>
    </row>
    <row r="27" spans="1:37" ht="15.5" thickTop="1" thickBot="1" x14ac:dyDescent="0.4">
      <c r="A27" s="191" t="s">
        <v>145</v>
      </c>
      <c r="B27" s="192">
        <v>8</v>
      </c>
      <c r="C27" s="192" t="s">
        <v>60</v>
      </c>
      <c r="D27" s="192">
        <v>0.36499999999999999</v>
      </c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89">
        <f>$D27/$B27/2</f>
        <v>2.2812499999999999E-2</v>
      </c>
      <c r="P27" s="189">
        <f t="shared" si="12"/>
        <v>4.5624999999999999E-2</v>
      </c>
      <c r="Q27" s="189">
        <f t="shared" si="13"/>
        <v>4.5624999999999999E-2</v>
      </c>
      <c r="R27" s="189">
        <f t="shared" si="14"/>
        <v>4.5624999999999999E-2</v>
      </c>
      <c r="S27" s="189">
        <f t="shared" si="15"/>
        <v>4.5624999999999999E-2</v>
      </c>
      <c r="T27" s="189">
        <f t="shared" si="16"/>
        <v>4.5624999999999999E-2</v>
      </c>
      <c r="U27" s="189">
        <f t="shared" si="17"/>
        <v>4.5624999999999999E-2</v>
      </c>
      <c r="V27" s="189">
        <f t="shared" si="18"/>
        <v>4.5624999999999999E-2</v>
      </c>
      <c r="W27" s="189">
        <f>O27</f>
        <v>2.2812499999999999E-2</v>
      </c>
      <c r="X27" s="189">
        <f t="shared" si="27"/>
        <v>0</v>
      </c>
      <c r="Y27" s="189">
        <f t="shared" si="28"/>
        <v>0</v>
      </c>
      <c r="Z27" s="193"/>
      <c r="AA27" s="194">
        <f>SUM(Uträkning!$O27:$Z27)</f>
        <v>0.36499999999999999</v>
      </c>
      <c r="AB27" s="194">
        <f>SUM(Uträkning!$D27:$N27)-Uträkning!$AA27</f>
        <v>0</v>
      </c>
      <c r="AC27" s="192"/>
    </row>
    <row r="28" spans="1:37" ht="15.5" thickTop="1" thickBot="1" x14ac:dyDescent="0.4">
      <c r="A28" s="195" t="s">
        <v>145</v>
      </c>
      <c r="B28" s="196">
        <v>8</v>
      </c>
      <c r="C28" s="196" t="s">
        <v>60</v>
      </c>
      <c r="D28" s="196">
        <v>0.36499999999999999</v>
      </c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89">
        <f t="shared" ref="O28:O31" si="29">$D28/$B28/2</f>
        <v>2.2812499999999999E-2</v>
      </c>
      <c r="P28" s="189">
        <f t="shared" si="12"/>
        <v>4.5624999999999999E-2</v>
      </c>
      <c r="Q28" s="189">
        <f t="shared" si="13"/>
        <v>4.5624999999999999E-2</v>
      </c>
      <c r="R28" s="189">
        <f t="shared" si="14"/>
        <v>4.5624999999999999E-2</v>
      </c>
      <c r="S28" s="189">
        <f t="shared" si="15"/>
        <v>4.5624999999999999E-2</v>
      </c>
      <c r="T28" s="189">
        <f t="shared" si="16"/>
        <v>4.5624999999999999E-2</v>
      </c>
      <c r="U28" s="189">
        <f t="shared" si="17"/>
        <v>4.5624999999999999E-2</v>
      </c>
      <c r="V28" s="189">
        <f t="shared" si="18"/>
        <v>4.5624999999999999E-2</v>
      </c>
      <c r="W28" s="189">
        <f t="shared" ref="W28:W31" si="30">O28</f>
        <v>2.2812499999999999E-2</v>
      </c>
      <c r="X28" s="189">
        <f t="shared" si="27"/>
        <v>0</v>
      </c>
      <c r="Y28" s="189">
        <f t="shared" si="28"/>
        <v>0</v>
      </c>
      <c r="Z28" s="197"/>
      <c r="AA28" s="198">
        <f>SUM(Uträkning!$O28:$Z28)</f>
        <v>0.36499999999999999</v>
      </c>
      <c r="AB28" s="198">
        <f>SUM(Uträkning!$D28:$N28)-Uträkning!$AA28</f>
        <v>0</v>
      </c>
      <c r="AC28" s="196"/>
    </row>
    <row r="29" spans="1:37" ht="15.5" thickTop="1" thickBot="1" x14ac:dyDescent="0.4">
      <c r="A29" s="191" t="s">
        <v>145</v>
      </c>
      <c r="B29" s="192">
        <v>8</v>
      </c>
      <c r="C29" s="192" t="s">
        <v>60</v>
      </c>
      <c r="D29" s="192">
        <v>0.36499999999999999</v>
      </c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89">
        <f t="shared" si="29"/>
        <v>2.2812499999999999E-2</v>
      </c>
      <c r="P29" s="189">
        <f t="shared" si="12"/>
        <v>4.5624999999999999E-2</v>
      </c>
      <c r="Q29" s="189">
        <f t="shared" si="13"/>
        <v>4.5624999999999999E-2</v>
      </c>
      <c r="R29" s="189">
        <f t="shared" si="14"/>
        <v>4.5624999999999999E-2</v>
      </c>
      <c r="S29" s="189">
        <f t="shared" si="15"/>
        <v>4.5624999999999999E-2</v>
      </c>
      <c r="T29" s="189">
        <f t="shared" si="16"/>
        <v>4.5624999999999999E-2</v>
      </c>
      <c r="U29" s="189">
        <f t="shared" si="17"/>
        <v>4.5624999999999999E-2</v>
      </c>
      <c r="V29" s="189">
        <f t="shared" si="18"/>
        <v>4.5624999999999999E-2</v>
      </c>
      <c r="W29" s="189">
        <f t="shared" si="30"/>
        <v>2.2812499999999999E-2</v>
      </c>
      <c r="X29" s="189">
        <f t="shared" si="27"/>
        <v>0</v>
      </c>
      <c r="Y29" s="189">
        <f t="shared" si="28"/>
        <v>0</v>
      </c>
      <c r="Z29" s="193"/>
      <c r="AA29" s="194">
        <f>SUM(Uträkning!$O29:$Z29)</f>
        <v>0.36499999999999999</v>
      </c>
      <c r="AB29" s="194">
        <f>SUM(Uträkning!$D29:$N29)-Uträkning!$AA29</f>
        <v>0</v>
      </c>
      <c r="AC29" s="192"/>
    </row>
    <row r="30" spans="1:37" ht="15.5" thickTop="1" thickBot="1" x14ac:dyDescent="0.4">
      <c r="A30" s="195" t="s">
        <v>145</v>
      </c>
      <c r="B30" s="196">
        <v>8</v>
      </c>
      <c r="C30" s="196" t="s">
        <v>60</v>
      </c>
      <c r="D30" s="196">
        <v>0.36499999999999999</v>
      </c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89">
        <f t="shared" si="29"/>
        <v>2.2812499999999999E-2</v>
      </c>
      <c r="P30" s="189">
        <f t="shared" si="12"/>
        <v>4.5624999999999999E-2</v>
      </c>
      <c r="Q30" s="189">
        <f t="shared" si="13"/>
        <v>4.5624999999999999E-2</v>
      </c>
      <c r="R30" s="189">
        <f t="shared" si="14"/>
        <v>4.5624999999999999E-2</v>
      </c>
      <c r="S30" s="189">
        <f t="shared" si="15"/>
        <v>4.5624999999999999E-2</v>
      </c>
      <c r="T30" s="189">
        <f t="shared" si="16"/>
        <v>4.5624999999999999E-2</v>
      </c>
      <c r="U30" s="189">
        <f t="shared" si="17"/>
        <v>4.5624999999999999E-2</v>
      </c>
      <c r="V30" s="189">
        <f t="shared" si="18"/>
        <v>4.5624999999999999E-2</v>
      </c>
      <c r="W30" s="189">
        <f t="shared" si="30"/>
        <v>2.2812499999999999E-2</v>
      </c>
      <c r="X30" s="189">
        <f t="shared" si="27"/>
        <v>0</v>
      </c>
      <c r="Y30" s="189">
        <f t="shared" si="28"/>
        <v>0</v>
      </c>
      <c r="Z30" s="197"/>
      <c r="AA30" s="198">
        <f>SUM(Uträkning!$O30:$Z30)</f>
        <v>0.36499999999999999</v>
      </c>
      <c r="AB30" s="198">
        <f>SUM(Uträkning!$D30:$N30)-Uträkning!$AA30</f>
        <v>0</v>
      </c>
      <c r="AC30" s="196"/>
    </row>
    <row r="31" spans="1:37" ht="15.5" thickTop="1" thickBot="1" x14ac:dyDescent="0.4">
      <c r="A31" s="191" t="s">
        <v>145</v>
      </c>
      <c r="B31" s="192">
        <v>8</v>
      </c>
      <c r="C31" s="192" t="s">
        <v>60</v>
      </c>
      <c r="D31" s="192">
        <v>0.36499999999999999</v>
      </c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89">
        <f t="shared" si="29"/>
        <v>2.2812499999999999E-2</v>
      </c>
      <c r="P31" s="189">
        <f t="shared" si="12"/>
        <v>4.5624999999999999E-2</v>
      </c>
      <c r="Q31" s="189">
        <f t="shared" si="13"/>
        <v>4.5624999999999999E-2</v>
      </c>
      <c r="R31" s="189">
        <f t="shared" si="14"/>
        <v>4.5624999999999999E-2</v>
      </c>
      <c r="S31" s="189">
        <f t="shared" si="15"/>
        <v>4.5624999999999999E-2</v>
      </c>
      <c r="T31" s="189">
        <f t="shared" si="16"/>
        <v>4.5624999999999999E-2</v>
      </c>
      <c r="U31" s="189">
        <f t="shared" si="17"/>
        <v>4.5624999999999999E-2</v>
      </c>
      <c r="V31" s="189">
        <f t="shared" si="18"/>
        <v>4.5624999999999999E-2</v>
      </c>
      <c r="W31" s="189">
        <f t="shared" si="30"/>
        <v>2.2812499999999999E-2</v>
      </c>
      <c r="X31" s="189">
        <f t="shared" si="27"/>
        <v>0</v>
      </c>
      <c r="Y31" s="189">
        <f t="shared" si="28"/>
        <v>0</v>
      </c>
      <c r="Z31" s="193"/>
      <c r="AA31" s="194">
        <f>SUM(Uträkning!$O31:$Z31)</f>
        <v>0.36499999999999999</v>
      </c>
      <c r="AB31" s="194">
        <f>SUM(Uträkning!$D31:$N31)-Uträkning!$AA31</f>
        <v>0</v>
      </c>
      <c r="AC31" s="192"/>
    </row>
    <row r="32" spans="1:37" ht="15.5" thickTop="1" thickBot="1" x14ac:dyDescent="0.4">
      <c r="A32" s="195" t="s">
        <v>145</v>
      </c>
      <c r="B32" s="196">
        <v>5</v>
      </c>
      <c r="C32" s="196" t="s">
        <v>61</v>
      </c>
      <c r="D32" s="196">
        <v>0.5</v>
      </c>
      <c r="E32" s="196">
        <v>0.5</v>
      </c>
      <c r="F32" s="196"/>
      <c r="G32" s="196"/>
      <c r="H32" s="196"/>
      <c r="I32" s="196"/>
      <c r="J32" s="196"/>
      <c r="K32" s="196"/>
      <c r="L32" s="196"/>
      <c r="M32" s="196"/>
      <c r="N32" s="196"/>
      <c r="O32" s="189">
        <f t="shared" ref="O32" si="31">$D32/$B32/2</f>
        <v>0.05</v>
      </c>
      <c r="P32" s="189">
        <f t="shared" si="12"/>
        <v>0.2</v>
      </c>
      <c r="Q32" s="189">
        <f t="shared" si="13"/>
        <v>0.2</v>
      </c>
      <c r="R32" s="189">
        <f t="shared" si="14"/>
        <v>0.2</v>
      </c>
      <c r="S32" s="189">
        <f t="shared" si="15"/>
        <v>0.2</v>
      </c>
      <c r="T32" s="189">
        <f t="shared" ref="T32" si="32">($E32+$F32+$G32+$H32+$I32)/$B32+O32</f>
        <v>0.15000000000000002</v>
      </c>
      <c r="U32" s="189">
        <f t="shared" ref="U32:U36" si="33">($F32+$G32+$H32+$I32+$J32)/$B32</f>
        <v>0</v>
      </c>
      <c r="V32" s="189">
        <f t="shared" ref="V32:V36" si="34">($G32+$H32+$I32+$J32+$K32)/$B32</f>
        <v>0</v>
      </c>
      <c r="W32" s="189">
        <f t="shared" ref="W32:W36" si="35">($H32+$I32+$J32+$K32+$L32)/$B32</f>
        <v>0</v>
      </c>
      <c r="X32" s="189">
        <f t="shared" ref="X32:X36" si="36">($I32+$J32+$K32+$L32+$M32)/$B32</f>
        <v>0</v>
      </c>
      <c r="Y32" s="189">
        <f t="shared" ref="Y32:Y36" si="37">($J32+$K32+$L32+$M32+$N32)/$B32</f>
        <v>0</v>
      </c>
      <c r="Z32" s="197"/>
      <c r="AA32" s="198">
        <f>SUM(Uträkning!$O32:$Z32)</f>
        <v>1</v>
      </c>
      <c r="AB32" s="198">
        <f>SUM(Uträkning!$D32:$N32)-Uträkning!$AA32</f>
        <v>0</v>
      </c>
      <c r="AC32" s="196"/>
      <c r="AG32" s="178"/>
      <c r="AH32" s="178"/>
      <c r="AI32" s="178"/>
      <c r="AJ32" s="178"/>
      <c r="AK32" s="178"/>
    </row>
    <row r="33" spans="1:29" ht="15.5" thickTop="1" thickBot="1" x14ac:dyDescent="0.4">
      <c r="A33" s="195" t="s">
        <v>145</v>
      </c>
      <c r="B33" s="196">
        <v>5</v>
      </c>
      <c r="C33" s="196" t="s">
        <v>62</v>
      </c>
      <c r="D33" s="196"/>
      <c r="E33" s="196">
        <v>0.1</v>
      </c>
      <c r="F33" s="196">
        <v>0.05</v>
      </c>
      <c r="G33" s="196"/>
      <c r="H33" s="196"/>
      <c r="I33" s="196"/>
      <c r="J33" s="196"/>
      <c r="K33" s="196"/>
      <c r="L33" s="196"/>
      <c r="M33" s="196"/>
      <c r="N33" s="196"/>
      <c r="O33" s="189">
        <f t="shared" si="0"/>
        <v>0</v>
      </c>
      <c r="P33" s="189">
        <f t="shared" si="12"/>
        <v>0.02</v>
      </c>
      <c r="Q33" s="189">
        <f t="shared" si="13"/>
        <v>3.0000000000000006E-2</v>
      </c>
      <c r="R33" s="189">
        <f t="shared" si="14"/>
        <v>3.0000000000000006E-2</v>
      </c>
      <c r="S33" s="189">
        <f t="shared" si="15"/>
        <v>3.0000000000000006E-2</v>
      </c>
      <c r="T33" s="189">
        <f t="shared" ref="T33:T34" si="38">($E33+$F33+$G33+$H33+$I33)/$B33</f>
        <v>3.0000000000000006E-2</v>
      </c>
      <c r="U33" s="189">
        <f t="shared" si="33"/>
        <v>0.01</v>
      </c>
      <c r="V33" s="189">
        <f t="shared" si="34"/>
        <v>0</v>
      </c>
      <c r="W33" s="189">
        <f t="shared" si="35"/>
        <v>0</v>
      </c>
      <c r="X33" s="189">
        <f t="shared" si="36"/>
        <v>0</v>
      </c>
      <c r="Y33" s="189">
        <f t="shared" si="37"/>
        <v>0</v>
      </c>
      <c r="Z33" s="197"/>
      <c r="AA33" s="198">
        <f>SUM(Uträkning!$O33:$Z33)</f>
        <v>0.15000000000000002</v>
      </c>
      <c r="AB33" s="198">
        <f>SUM(Uträkning!$D33:$N33)-Uträkning!$AA33</f>
        <v>0</v>
      </c>
      <c r="AC33" s="196"/>
    </row>
    <row r="34" spans="1:29" ht="15.5" thickTop="1" thickBot="1" x14ac:dyDescent="0.4">
      <c r="A34" s="191" t="s">
        <v>145</v>
      </c>
      <c r="B34" s="192">
        <v>5</v>
      </c>
      <c r="C34" s="192" t="s">
        <v>65</v>
      </c>
      <c r="D34" s="192"/>
      <c r="E34" s="192">
        <v>2</v>
      </c>
      <c r="F34" s="192">
        <v>4</v>
      </c>
      <c r="G34" s="192">
        <v>4</v>
      </c>
      <c r="H34" s="192">
        <v>4</v>
      </c>
      <c r="I34" s="192">
        <v>5</v>
      </c>
      <c r="J34" s="192">
        <v>5</v>
      </c>
      <c r="K34" s="192">
        <v>5</v>
      </c>
      <c r="L34" s="192">
        <v>5</v>
      </c>
      <c r="M34" s="192">
        <v>5</v>
      </c>
      <c r="N34" s="192">
        <v>5</v>
      </c>
      <c r="O34" s="189">
        <f t="shared" si="0"/>
        <v>0</v>
      </c>
      <c r="P34" s="189">
        <f t="shared" si="12"/>
        <v>0.4</v>
      </c>
      <c r="Q34" s="189">
        <f t="shared" si="13"/>
        <v>1.2</v>
      </c>
      <c r="R34" s="189">
        <f t="shared" si="14"/>
        <v>2</v>
      </c>
      <c r="S34" s="189">
        <f t="shared" si="15"/>
        <v>2.8</v>
      </c>
      <c r="T34" s="189">
        <f t="shared" si="38"/>
        <v>3.8</v>
      </c>
      <c r="U34" s="189">
        <f t="shared" si="33"/>
        <v>4.4000000000000004</v>
      </c>
      <c r="V34" s="189">
        <f t="shared" si="34"/>
        <v>4.5999999999999996</v>
      </c>
      <c r="W34" s="189">
        <f t="shared" si="35"/>
        <v>4.8</v>
      </c>
      <c r="X34" s="189">
        <f t="shared" si="36"/>
        <v>5</v>
      </c>
      <c r="Y34" s="189">
        <f t="shared" si="37"/>
        <v>5</v>
      </c>
      <c r="Z34" s="193">
        <v>10</v>
      </c>
      <c r="AA34" s="194">
        <f>SUM(Uträkning!$O34:$Z34)</f>
        <v>44</v>
      </c>
      <c r="AB34" s="194">
        <f>SUM(Uträkning!$D34:$N34)-Uträkning!$AA34</f>
        <v>0</v>
      </c>
      <c r="AC34" s="192"/>
    </row>
    <row r="35" spans="1:29" ht="15.5" thickTop="1" thickBot="1" x14ac:dyDescent="0.4">
      <c r="A35" s="195" t="s">
        <v>145</v>
      </c>
      <c r="B35" s="196">
        <v>5</v>
      </c>
      <c r="C35" s="196" t="s">
        <v>147</v>
      </c>
      <c r="D35" s="196">
        <v>14</v>
      </c>
      <c r="E35" s="196">
        <v>21</v>
      </c>
      <c r="F35" s="196"/>
      <c r="G35" s="196"/>
      <c r="H35" s="196"/>
      <c r="I35" s="196"/>
      <c r="J35" s="196"/>
      <c r="K35" s="196"/>
      <c r="L35" s="196"/>
      <c r="M35" s="196"/>
      <c r="N35" s="196"/>
      <c r="O35" s="189">
        <f t="shared" ref="O35:O36" si="39">$D35/$B35/2</f>
        <v>1.4</v>
      </c>
      <c r="P35" s="189">
        <f>($D35+$E35)/$B35/2</f>
        <v>3.5</v>
      </c>
      <c r="Q35" s="189">
        <f t="shared" si="13"/>
        <v>7</v>
      </c>
      <c r="R35" s="189">
        <f t="shared" si="14"/>
        <v>7</v>
      </c>
      <c r="S35" s="189">
        <f t="shared" si="15"/>
        <v>7</v>
      </c>
      <c r="T35" s="189">
        <f>($E35+$F35+$G35+$H35+$I35)/$B35+O35</f>
        <v>5.6</v>
      </c>
      <c r="U35" s="189">
        <f>P35</f>
        <v>3.5</v>
      </c>
      <c r="V35" s="189">
        <f t="shared" si="34"/>
        <v>0</v>
      </c>
      <c r="W35" s="189">
        <f t="shared" si="35"/>
        <v>0</v>
      </c>
      <c r="X35" s="189">
        <f t="shared" si="36"/>
        <v>0</v>
      </c>
      <c r="Y35" s="189">
        <f t="shared" si="37"/>
        <v>0</v>
      </c>
      <c r="Z35" s="197"/>
      <c r="AA35" s="198">
        <f>SUM(Uträkning!$O35:$Z35)</f>
        <v>35</v>
      </c>
      <c r="AB35" s="198">
        <f>SUM(Uträkning!$D35:$N35)-Uträkning!$AA35</f>
        <v>0</v>
      </c>
      <c r="AC35" s="196" t="s">
        <v>148</v>
      </c>
    </row>
    <row r="36" spans="1:29" ht="15.5" thickTop="1" thickBot="1" x14ac:dyDescent="0.4">
      <c r="A36" s="191" t="s">
        <v>149</v>
      </c>
      <c r="B36" s="192">
        <v>5</v>
      </c>
      <c r="C36" s="192" t="s">
        <v>72</v>
      </c>
      <c r="D36" s="192">
        <v>2.9</v>
      </c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89">
        <f t="shared" si="39"/>
        <v>0.28999999999999998</v>
      </c>
      <c r="P36" s="189">
        <f t="shared" si="12"/>
        <v>0.57999999999999996</v>
      </c>
      <c r="Q36" s="189">
        <f t="shared" si="13"/>
        <v>0.57999999999999996</v>
      </c>
      <c r="R36" s="189">
        <f t="shared" si="14"/>
        <v>0.57999999999999996</v>
      </c>
      <c r="S36" s="189">
        <f t="shared" si="15"/>
        <v>0.57999999999999996</v>
      </c>
      <c r="T36" s="189">
        <f t="shared" ref="T36" si="40">($E36+$F36+$G36+$H36+$I36)/$B36+O36</f>
        <v>0.28999999999999998</v>
      </c>
      <c r="U36" s="189">
        <f t="shared" si="33"/>
        <v>0</v>
      </c>
      <c r="V36" s="189">
        <f t="shared" si="34"/>
        <v>0</v>
      </c>
      <c r="W36" s="189">
        <f t="shared" si="35"/>
        <v>0</v>
      </c>
      <c r="X36" s="189">
        <f t="shared" si="36"/>
        <v>0</v>
      </c>
      <c r="Y36" s="189">
        <f t="shared" si="37"/>
        <v>0</v>
      </c>
      <c r="Z36" s="193"/>
      <c r="AA36" s="194">
        <f>SUM(Uträkning!$O36:$Z36)</f>
        <v>2.9</v>
      </c>
      <c r="AB36" s="194">
        <f>SUM(Uträkning!$D36:$N36)-Uträkning!$AA36</f>
        <v>0</v>
      </c>
      <c r="AC36" s="192"/>
    </row>
    <row r="37" spans="1:29" ht="15.5" thickTop="1" thickBot="1" x14ac:dyDescent="0.4">
      <c r="A37" s="195" t="s">
        <v>149</v>
      </c>
      <c r="B37" s="196">
        <v>8</v>
      </c>
      <c r="C37" s="196" t="s">
        <v>73</v>
      </c>
      <c r="D37" s="196"/>
      <c r="E37" s="196">
        <v>10</v>
      </c>
      <c r="F37" s="196"/>
      <c r="G37" s="196"/>
      <c r="H37" s="196"/>
      <c r="I37" s="196"/>
      <c r="J37" s="196"/>
      <c r="K37" s="196"/>
      <c r="L37" s="196"/>
      <c r="M37" s="196">
        <v>10</v>
      </c>
      <c r="N37" s="196"/>
      <c r="O37" s="189">
        <f t="shared" si="0"/>
        <v>0</v>
      </c>
      <c r="P37" s="189">
        <f t="shared" si="12"/>
        <v>1.25</v>
      </c>
      <c r="Q37" s="189">
        <f t="shared" si="13"/>
        <v>1.25</v>
      </c>
      <c r="R37" s="189">
        <f t="shared" si="14"/>
        <v>1.25</v>
      </c>
      <c r="S37" s="189">
        <f t="shared" si="15"/>
        <v>1.25</v>
      </c>
      <c r="T37" s="189">
        <f t="shared" si="16"/>
        <v>1.25</v>
      </c>
      <c r="U37" s="189">
        <f t="shared" si="17"/>
        <v>1.25</v>
      </c>
      <c r="V37" s="189">
        <f t="shared" si="18"/>
        <v>1.25</v>
      </c>
      <c r="W37" s="189">
        <f t="shared" si="26"/>
        <v>1.25</v>
      </c>
      <c r="X37" s="189">
        <f t="shared" si="27"/>
        <v>1.25</v>
      </c>
      <c r="Y37" s="189">
        <f t="shared" si="28"/>
        <v>1.25</v>
      </c>
      <c r="Z37" s="197">
        <v>7.5</v>
      </c>
      <c r="AA37" s="198">
        <f>SUM(Uträkning!$O37:$Z37)</f>
        <v>20</v>
      </c>
      <c r="AB37" s="198">
        <f>SUM(Uträkning!$D37:$N37)-Uträkning!$AA37</f>
        <v>0</v>
      </c>
      <c r="AC37" s="196"/>
    </row>
    <row r="38" spans="1:29" ht="15.5" thickTop="1" thickBot="1" x14ac:dyDescent="0.4">
      <c r="A38" s="191" t="s">
        <v>149</v>
      </c>
      <c r="B38" s="192">
        <v>8</v>
      </c>
      <c r="C38" s="192" t="s">
        <v>76</v>
      </c>
      <c r="D38" s="192"/>
      <c r="E38" s="192">
        <v>19</v>
      </c>
      <c r="F38" s="192"/>
      <c r="G38" s="192"/>
      <c r="H38" s="192"/>
      <c r="I38" s="192"/>
      <c r="J38" s="192"/>
      <c r="K38" s="192"/>
      <c r="L38" s="192"/>
      <c r="M38" s="192">
        <v>20</v>
      </c>
      <c r="N38" s="192"/>
      <c r="O38" s="189">
        <f t="shared" si="0"/>
        <v>0</v>
      </c>
      <c r="P38" s="189">
        <f t="shared" si="12"/>
        <v>2.375</v>
      </c>
      <c r="Q38" s="189">
        <f t="shared" si="13"/>
        <v>2.375</v>
      </c>
      <c r="R38" s="189">
        <f t="shared" si="14"/>
        <v>2.375</v>
      </c>
      <c r="S38" s="189">
        <f t="shared" si="15"/>
        <v>2.375</v>
      </c>
      <c r="T38" s="189">
        <f t="shared" si="16"/>
        <v>2.375</v>
      </c>
      <c r="U38" s="189">
        <f t="shared" si="17"/>
        <v>2.375</v>
      </c>
      <c r="V38" s="189">
        <f t="shared" si="18"/>
        <v>2.375</v>
      </c>
      <c r="W38" s="189">
        <f t="shared" si="26"/>
        <v>2.375</v>
      </c>
      <c r="X38" s="189">
        <f t="shared" si="27"/>
        <v>2.5</v>
      </c>
      <c r="Y38" s="189">
        <f t="shared" si="28"/>
        <v>2.5</v>
      </c>
      <c r="Z38" s="193">
        <v>15</v>
      </c>
      <c r="AA38" s="194">
        <f>SUM(Uträkning!$O38:$Z38)</f>
        <v>39</v>
      </c>
      <c r="AB38" s="194">
        <f>SUM(Uträkning!$D38:$N38)-Uträkning!$AA38</f>
        <v>0</v>
      </c>
      <c r="AC38" s="192"/>
    </row>
    <row r="39" spans="1:29" ht="15.5" thickTop="1" thickBot="1" x14ac:dyDescent="0.4">
      <c r="A39" s="195" t="s">
        <v>149</v>
      </c>
      <c r="B39" s="196">
        <v>8</v>
      </c>
      <c r="C39" s="196" t="s">
        <v>77</v>
      </c>
      <c r="D39" s="196"/>
      <c r="E39" s="196">
        <v>5</v>
      </c>
      <c r="F39" s="196"/>
      <c r="G39" s="196"/>
      <c r="H39" s="196"/>
      <c r="I39" s="196"/>
      <c r="J39" s="196"/>
      <c r="K39" s="196"/>
      <c r="L39" s="196"/>
      <c r="M39" s="196">
        <v>5.5</v>
      </c>
      <c r="N39" s="196"/>
      <c r="O39" s="189">
        <f t="shared" si="0"/>
        <v>0</v>
      </c>
      <c r="P39" s="189">
        <f t="shared" si="12"/>
        <v>0.625</v>
      </c>
      <c r="Q39" s="189">
        <f t="shared" si="13"/>
        <v>0.625</v>
      </c>
      <c r="R39" s="189">
        <f t="shared" si="14"/>
        <v>0.625</v>
      </c>
      <c r="S39" s="189">
        <f t="shared" si="15"/>
        <v>0.625</v>
      </c>
      <c r="T39" s="189">
        <f t="shared" si="16"/>
        <v>0.625</v>
      </c>
      <c r="U39" s="189">
        <f t="shared" si="17"/>
        <v>0.625</v>
      </c>
      <c r="V39" s="189">
        <f t="shared" si="18"/>
        <v>0.625</v>
      </c>
      <c r="W39" s="189">
        <f t="shared" si="26"/>
        <v>0.625</v>
      </c>
      <c r="X39" s="189">
        <f t="shared" si="27"/>
        <v>0.6875</v>
      </c>
      <c r="Y39" s="189">
        <f t="shared" si="28"/>
        <v>0.6875</v>
      </c>
      <c r="Z39" s="197">
        <v>4.125</v>
      </c>
      <c r="AA39" s="198">
        <f>SUM(Uträkning!$O39:$Z39)</f>
        <v>10.5</v>
      </c>
      <c r="AB39" s="198">
        <f>SUM(Uträkning!$D39:$N39)-Uträkning!$AA39</f>
        <v>0</v>
      </c>
      <c r="AC39" s="196"/>
    </row>
    <row r="40" spans="1:29" ht="15.5" thickTop="1" thickBot="1" x14ac:dyDescent="0.4">
      <c r="A40" s="191" t="s">
        <v>149</v>
      </c>
      <c r="B40" s="192">
        <v>10</v>
      </c>
      <c r="C40" s="192" t="s">
        <v>78</v>
      </c>
      <c r="D40" s="192"/>
      <c r="E40" s="192">
        <v>0.05</v>
      </c>
      <c r="F40" s="192"/>
      <c r="G40" s="192"/>
      <c r="H40" s="192"/>
      <c r="I40" s="192"/>
      <c r="J40" s="192"/>
      <c r="K40" s="192"/>
      <c r="L40" s="192"/>
      <c r="M40" s="192"/>
      <c r="N40" s="192"/>
      <c r="O40" s="189">
        <f t="shared" si="0"/>
        <v>0</v>
      </c>
      <c r="P40" s="189">
        <f t="shared" si="12"/>
        <v>5.0000000000000001E-3</v>
      </c>
      <c r="Q40" s="189">
        <f t="shared" si="13"/>
        <v>5.0000000000000001E-3</v>
      </c>
      <c r="R40" s="189">
        <f t="shared" si="14"/>
        <v>5.0000000000000001E-3</v>
      </c>
      <c r="S40" s="189">
        <f t="shared" si="15"/>
        <v>5.0000000000000001E-3</v>
      </c>
      <c r="T40" s="189">
        <f t="shared" si="16"/>
        <v>5.0000000000000001E-3</v>
      </c>
      <c r="U40" s="189">
        <f t="shared" si="17"/>
        <v>5.0000000000000001E-3</v>
      </c>
      <c r="V40" s="189">
        <f t="shared" si="18"/>
        <v>5.0000000000000001E-3</v>
      </c>
      <c r="W40" s="189">
        <f t="shared" ref="W40:W66" si="41">($D40+$E40+$F40+$G40+$H40+$I40+$J40+$K40+$L40)/$B40</f>
        <v>5.0000000000000001E-3</v>
      </c>
      <c r="X40" s="189">
        <f t="shared" ref="X40:X66" si="42">($D40+$E40+$F40+$G40+$H40+$I40+$J40+$K40+$L40+$M40)/$B40</f>
        <v>5.0000000000000001E-3</v>
      </c>
      <c r="Y40" s="189">
        <f t="shared" ref="Y40:Y66" si="43">($E40+$F40+$G40+$H40+$I40+$J40+$K40+$L40+$M40+$N40)/$B40</f>
        <v>5.0000000000000001E-3</v>
      </c>
      <c r="Z40" s="193"/>
      <c r="AA40" s="194">
        <f>SUM(Uträkning!$O40:$Z40)</f>
        <v>4.9999999999999996E-2</v>
      </c>
      <c r="AB40" s="194">
        <f>SUM(Uträkning!$D40:$N40)-Uträkning!$AA40</f>
        <v>0</v>
      </c>
      <c r="AC40" s="192"/>
    </row>
    <row r="41" spans="1:29" ht="15.5" thickTop="1" thickBot="1" x14ac:dyDescent="0.4">
      <c r="A41" s="195" t="s">
        <v>149</v>
      </c>
      <c r="B41" s="196">
        <v>8</v>
      </c>
      <c r="C41" s="196" t="s">
        <v>79</v>
      </c>
      <c r="D41" s="196"/>
      <c r="E41" s="196"/>
      <c r="F41" s="196"/>
      <c r="G41" s="196">
        <v>10</v>
      </c>
      <c r="H41" s="196"/>
      <c r="I41" s="196"/>
      <c r="J41" s="196"/>
      <c r="K41" s="196"/>
      <c r="L41" s="196"/>
      <c r="M41" s="196"/>
      <c r="N41" s="196"/>
      <c r="O41" s="189">
        <f t="shared" si="0"/>
        <v>0</v>
      </c>
      <c r="P41" s="189">
        <f t="shared" si="12"/>
        <v>0</v>
      </c>
      <c r="Q41" s="189">
        <f t="shared" si="13"/>
        <v>0</v>
      </c>
      <c r="R41" s="189">
        <f t="shared" si="14"/>
        <v>1.25</v>
      </c>
      <c r="S41" s="189">
        <f t="shared" si="15"/>
        <v>1.25</v>
      </c>
      <c r="T41" s="189">
        <f t="shared" si="16"/>
        <v>1.25</v>
      </c>
      <c r="U41" s="189">
        <f t="shared" si="17"/>
        <v>1.25</v>
      </c>
      <c r="V41" s="189">
        <f t="shared" si="18"/>
        <v>1.25</v>
      </c>
      <c r="W41" s="189">
        <f t="shared" si="26"/>
        <v>1.25</v>
      </c>
      <c r="X41" s="189">
        <f t="shared" si="27"/>
        <v>1.25</v>
      </c>
      <c r="Y41" s="189">
        <f t="shared" si="28"/>
        <v>1.25</v>
      </c>
      <c r="Z41" s="197"/>
      <c r="AA41" s="198">
        <f>SUM(Uträkning!$O41:$Z41)</f>
        <v>10</v>
      </c>
      <c r="AB41" s="198">
        <f>SUM(Uträkning!$D41:$N41)-Uträkning!$AA41</f>
        <v>0</v>
      </c>
      <c r="AC41" s="196"/>
    </row>
    <row r="42" spans="1:29" ht="15.5" thickTop="1" thickBot="1" x14ac:dyDescent="0.4">
      <c r="A42" s="191" t="s">
        <v>149</v>
      </c>
      <c r="B42" s="192">
        <v>8</v>
      </c>
      <c r="C42" s="192" t="s">
        <v>80</v>
      </c>
      <c r="D42" s="192">
        <v>1.8</v>
      </c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89">
        <f>$D42/$B42/2</f>
        <v>0.1125</v>
      </c>
      <c r="P42" s="189">
        <f t="shared" si="12"/>
        <v>0.22500000000000001</v>
      </c>
      <c r="Q42" s="189">
        <f t="shared" si="13"/>
        <v>0.22500000000000001</v>
      </c>
      <c r="R42" s="189">
        <f t="shared" si="14"/>
        <v>0.22500000000000001</v>
      </c>
      <c r="S42" s="189">
        <f t="shared" si="15"/>
        <v>0.22500000000000001</v>
      </c>
      <c r="T42" s="189">
        <f t="shared" si="16"/>
        <v>0.22500000000000001</v>
      </c>
      <c r="U42" s="189">
        <f t="shared" si="17"/>
        <v>0.22500000000000001</v>
      </c>
      <c r="V42" s="189">
        <f t="shared" si="18"/>
        <v>0.22500000000000001</v>
      </c>
      <c r="W42" s="189">
        <f>O42</f>
        <v>0.1125</v>
      </c>
      <c r="X42" s="189">
        <f t="shared" si="27"/>
        <v>0</v>
      </c>
      <c r="Y42" s="189">
        <f t="shared" si="28"/>
        <v>0</v>
      </c>
      <c r="Z42" s="193"/>
      <c r="AA42" s="194">
        <f>SUM(Uträkning!$O42:$Z42)</f>
        <v>1.8000000000000003</v>
      </c>
      <c r="AB42" s="194">
        <f>SUM(Uträkning!$D42:$N42)-Uträkning!$AA42</f>
        <v>0</v>
      </c>
      <c r="AC42" s="192"/>
    </row>
    <row r="43" spans="1:29" ht="15.5" thickTop="1" thickBot="1" x14ac:dyDescent="0.4">
      <c r="A43" s="195" t="s">
        <v>149</v>
      </c>
      <c r="B43" s="196">
        <v>8</v>
      </c>
      <c r="C43" s="196" t="s">
        <v>80</v>
      </c>
      <c r="D43" s="196"/>
      <c r="E43" s="196"/>
      <c r="F43" s="196"/>
      <c r="G43" s="196"/>
      <c r="H43" s="196"/>
      <c r="I43" s="196"/>
      <c r="J43" s="196"/>
      <c r="K43" s="196">
        <v>2.2000000000000002</v>
      </c>
      <c r="L43" s="196"/>
      <c r="M43" s="196"/>
      <c r="N43" s="196"/>
      <c r="O43" s="189">
        <f t="shared" si="0"/>
        <v>0</v>
      </c>
      <c r="P43" s="189">
        <f t="shared" si="12"/>
        <v>0</v>
      </c>
      <c r="Q43" s="189">
        <f t="shared" si="13"/>
        <v>0</v>
      </c>
      <c r="R43" s="189">
        <f t="shared" si="14"/>
        <v>0</v>
      </c>
      <c r="S43" s="189">
        <f t="shared" si="15"/>
        <v>0</v>
      </c>
      <c r="T43" s="189">
        <f t="shared" si="16"/>
        <v>0</v>
      </c>
      <c r="U43" s="189">
        <f t="shared" si="17"/>
        <v>0</v>
      </c>
      <c r="V43" s="189">
        <f t="shared" si="18"/>
        <v>0.27500000000000002</v>
      </c>
      <c r="W43" s="189">
        <f t="shared" si="26"/>
        <v>0.27500000000000002</v>
      </c>
      <c r="X43" s="189">
        <f t="shared" si="27"/>
        <v>0.27500000000000002</v>
      </c>
      <c r="Y43" s="189">
        <f t="shared" si="28"/>
        <v>0.27500000000000002</v>
      </c>
      <c r="Z43" s="197">
        <v>1.1000000000000001</v>
      </c>
      <c r="AA43" s="198">
        <f>SUM(Uträkning!$O43:$Z43)</f>
        <v>2.2000000000000002</v>
      </c>
      <c r="AB43" s="198">
        <f>SUM(Uträkning!$D43:$N43)-Uträkning!$AA43</f>
        <v>0</v>
      </c>
      <c r="AC43" s="196"/>
    </row>
    <row r="44" spans="1:29" ht="15.5" thickTop="1" thickBot="1" x14ac:dyDescent="0.4">
      <c r="A44" s="191" t="s">
        <v>149</v>
      </c>
      <c r="B44" s="192">
        <v>5</v>
      </c>
      <c r="C44" s="192" t="s">
        <v>81</v>
      </c>
      <c r="D44" s="192">
        <v>0.2</v>
      </c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89">
        <f>$D44/$B44/2</f>
        <v>0.02</v>
      </c>
      <c r="P44" s="189">
        <f>($D44+$E44)/$B44</f>
        <v>0.04</v>
      </c>
      <c r="Q44" s="189">
        <f>($D44+$E44+$F44)/$B44</f>
        <v>0.04</v>
      </c>
      <c r="R44" s="189">
        <f>($D44+$E44+$F44+$G44)/$B44</f>
        <v>0.04</v>
      </c>
      <c r="S44" s="189">
        <f>($D44+$E44+$F44+$G44+$H44)/$B44</f>
        <v>0.04</v>
      </c>
      <c r="T44" s="189">
        <f>($E44+$F44+$G44+$H44+$I44)/$B44+O44</f>
        <v>0.02</v>
      </c>
      <c r="U44" s="189">
        <f>($F44+$G44+$H44+$I44+$J44)/$B44</f>
        <v>0</v>
      </c>
      <c r="V44" s="189">
        <f>($G44+$H44+$I44+$J44+$K44)/$B44</f>
        <v>0</v>
      </c>
      <c r="W44" s="189">
        <f>($H44+$I44+$J44+$K44+$L44)/$B44</f>
        <v>0</v>
      </c>
      <c r="X44" s="189">
        <f>($I44+$J44+$K44+$L44+$M44)/$B44</f>
        <v>0</v>
      </c>
      <c r="Y44" s="189">
        <f>($J44+$K44+$L44+$M44+$N44)/$B44</f>
        <v>0</v>
      </c>
      <c r="Z44" s="193"/>
      <c r="AA44" s="194">
        <f>SUM(Uträkning!$O44:$Z44)</f>
        <v>0.2</v>
      </c>
      <c r="AB44" s="194">
        <f>SUM(Uträkning!$D44:$N44)-Uträkning!$AA44</f>
        <v>0</v>
      </c>
      <c r="AC44" s="192"/>
    </row>
    <row r="45" spans="1:29" ht="15.5" thickTop="1" thickBot="1" x14ac:dyDescent="0.4">
      <c r="A45" s="195" t="s">
        <v>149</v>
      </c>
      <c r="B45" s="196">
        <v>8</v>
      </c>
      <c r="C45" s="196" t="s">
        <v>82</v>
      </c>
      <c r="D45" s="196">
        <v>2</v>
      </c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89">
        <f t="shared" ref="O45:O47" si="44">$D45/$B45/2</f>
        <v>0.125</v>
      </c>
      <c r="P45" s="189">
        <f t="shared" si="12"/>
        <v>0.25</v>
      </c>
      <c r="Q45" s="189">
        <f t="shared" si="13"/>
        <v>0.25</v>
      </c>
      <c r="R45" s="189">
        <f t="shared" si="14"/>
        <v>0.25</v>
      </c>
      <c r="S45" s="189">
        <f t="shared" si="15"/>
        <v>0.25</v>
      </c>
      <c r="T45" s="189">
        <f t="shared" si="16"/>
        <v>0.25</v>
      </c>
      <c r="U45" s="189">
        <f t="shared" si="17"/>
        <v>0.25</v>
      </c>
      <c r="V45" s="189">
        <f t="shared" si="18"/>
        <v>0.25</v>
      </c>
      <c r="W45" s="189">
        <f t="shared" ref="W45:W47" si="45">O45</f>
        <v>0.125</v>
      </c>
      <c r="X45" s="189">
        <f t="shared" si="27"/>
        <v>0</v>
      </c>
      <c r="Y45" s="189">
        <f t="shared" si="28"/>
        <v>0</v>
      </c>
      <c r="Z45" s="197"/>
      <c r="AA45" s="198">
        <f>SUM(Uträkning!$O45:$Z45)</f>
        <v>2</v>
      </c>
      <c r="AB45" s="198">
        <f>SUM(Uträkning!$D45:$N45)-Uträkning!$AA45</f>
        <v>0</v>
      </c>
      <c r="AC45" s="196"/>
    </row>
    <row r="46" spans="1:29" ht="15.5" thickTop="1" thickBot="1" x14ac:dyDescent="0.4">
      <c r="A46" s="191" t="s">
        <v>149</v>
      </c>
      <c r="B46" s="192">
        <v>8</v>
      </c>
      <c r="C46" s="192" t="s">
        <v>83</v>
      </c>
      <c r="D46" s="192">
        <v>1.5</v>
      </c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89">
        <f t="shared" si="44"/>
        <v>9.375E-2</v>
      </c>
      <c r="P46" s="189">
        <f t="shared" si="12"/>
        <v>0.1875</v>
      </c>
      <c r="Q46" s="189">
        <f t="shared" si="13"/>
        <v>0.1875</v>
      </c>
      <c r="R46" s="189">
        <f t="shared" si="14"/>
        <v>0.1875</v>
      </c>
      <c r="S46" s="189">
        <f t="shared" si="15"/>
        <v>0.1875</v>
      </c>
      <c r="T46" s="189">
        <f t="shared" si="16"/>
        <v>0.1875</v>
      </c>
      <c r="U46" s="189">
        <f t="shared" si="17"/>
        <v>0.1875</v>
      </c>
      <c r="V46" s="189">
        <f t="shared" si="18"/>
        <v>0.1875</v>
      </c>
      <c r="W46" s="189">
        <f t="shared" si="45"/>
        <v>9.375E-2</v>
      </c>
      <c r="X46" s="189">
        <f t="shared" si="27"/>
        <v>0</v>
      </c>
      <c r="Y46" s="189">
        <f t="shared" si="28"/>
        <v>0</v>
      </c>
      <c r="Z46" s="193"/>
      <c r="AA46" s="194">
        <f>SUM(Uträkning!$O46:$Z46)</f>
        <v>1.5</v>
      </c>
      <c r="AB46" s="194">
        <f>SUM(Uträkning!$D46:$N46)-Uträkning!$AA46</f>
        <v>0</v>
      </c>
      <c r="AC46" s="192"/>
    </row>
    <row r="47" spans="1:29" ht="15.5" thickTop="1" thickBot="1" x14ac:dyDescent="0.4">
      <c r="A47" s="195" t="s">
        <v>149</v>
      </c>
      <c r="B47" s="196">
        <v>8</v>
      </c>
      <c r="C47" s="196" t="s">
        <v>84</v>
      </c>
      <c r="D47" s="196">
        <v>1.5</v>
      </c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89">
        <f t="shared" si="44"/>
        <v>9.375E-2</v>
      </c>
      <c r="P47" s="189">
        <f t="shared" si="12"/>
        <v>0.1875</v>
      </c>
      <c r="Q47" s="189">
        <f t="shared" si="13"/>
        <v>0.1875</v>
      </c>
      <c r="R47" s="189">
        <f t="shared" si="14"/>
        <v>0.1875</v>
      </c>
      <c r="S47" s="189">
        <f t="shared" si="15"/>
        <v>0.1875</v>
      </c>
      <c r="T47" s="189">
        <f t="shared" si="16"/>
        <v>0.1875</v>
      </c>
      <c r="U47" s="189">
        <f t="shared" si="17"/>
        <v>0.1875</v>
      </c>
      <c r="V47" s="189">
        <f t="shared" si="18"/>
        <v>0.1875</v>
      </c>
      <c r="W47" s="189">
        <f t="shared" si="45"/>
        <v>9.375E-2</v>
      </c>
      <c r="X47" s="189">
        <f t="shared" si="27"/>
        <v>0</v>
      </c>
      <c r="Y47" s="189">
        <f t="shared" si="28"/>
        <v>0</v>
      </c>
      <c r="Z47" s="197"/>
      <c r="AA47" s="198">
        <f>SUM(Uträkning!$O47:$Z47)</f>
        <v>1.5</v>
      </c>
      <c r="AB47" s="198">
        <f>SUM(Uträkning!$D47:$N47)-Uträkning!$AA47</f>
        <v>0</v>
      </c>
      <c r="AC47" s="196"/>
    </row>
    <row r="48" spans="1:29" ht="15.5" thickTop="1" thickBot="1" x14ac:dyDescent="0.4">
      <c r="A48" s="191" t="s">
        <v>149</v>
      </c>
      <c r="B48" s="192">
        <v>8</v>
      </c>
      <c r="C48" s="192" t="s">
        <v>85</v>
      </c>
      <c r="D48" s="192"/>
      <c r="E48" s="192"/>
      <c r="F48" s="192">
        <v>2</v>
      </c>
      <c r="G48" s="192"/>
      <c r="H48" s="192"/>
      <c r="I48" s="192"/>
      <c r="J48" s="192"/>
      <c r="K48" s="192"/>
      <c r="L48" s="192"/>
      <c r="M48" s="192"/>
      <c r="N48" s="192"/>
      <c r="O48" s="189">
        <f t="shared" si="0"/>
        <v>0</v>
      </c>
      <c r="P48" s="189">
        <f t="shared" si="12"/>
        <v>0</v>
      </c>
      <c r="Q48" s="189">
        <f t="shared" si="13"/>
        <v>0.25</v>
      </c>
      <c r="R48" s="189">
        <f t="shared" si="14"/>
        <v>0.25</v>
      </c>
      <c r="S48" s="189">
        <f t="shared" si="15"/>
        <v>0.25</v>
      </c>
      <c r="T48" s="189">
        <f t="shared" si="16"/>
        <v>0.25</v>
      </c>
      <c r="U48" s="189">
        <f t="shared" si="17"/>
        <v>0.25</v>
      </c>
      <c r="V48" s="189">
        <f t="shared" si="18"/>
        <v>0.25</v>
      </c>
      <c r="W48" s="189">
        <f t="shared" si="26"/>
        <v>0.25</v>
      </c>
      <c r="X48" s="189">
        <f t="shared" si="27"/>
        <v>0.25</v>
      </c>
      <c r="Y48" s="189">
        <f t="shared" si="28"/>
        <v>0</v>
      </c>
      <c r="Z48" s="193"/>
      <c r="AA48" s="194">
        <f>SUM(Uträkning!$O48:$Z48)</f>
        <v>2</v>
      </c>
      <c r="AB48" s="194">
        <f>SUM(Uträkning!$D48:$N48)-Uträkning!$AA48</f>
        <v>0</v>
      </c>
      <c r="AC48" s="192"/>
    </row>
    <row r="49" spans="1:29" ht="15.5" thickTop="1" thickBot="1" x14ac:dyDescent="0.4">
      <c r="A49" s="195" t="s">
        <v>149</v>
      </c>
      <c r="B49" s="196">
        <v>8</v>
      </c>
      <c r="C49" s="196" t="s">
        <v>86</v>
      </c>
      <c r="D49" s="196"/>
      <c r="E49" s="196"/>
      <c r="F49" s="196">
        <v>2</v>
      </c>
      <c r="G49" s="196"/>
      <c r="H49" s="196"/>
      <c r="I49" s="196"/>
      <c r="J49" s="196"/>
      <c r="K49" s="196"/>
      <c r="L49" s="196"/>
      <c r="M49" s="196"/>
      <c r="N49" s="196"/>
      <c r="O49" s="189">
        <f t="shared" si="0"/>
        <v>0</v>
      </c>
      <c r="P49" s="189">
        <f t="shared" si="12"/>
        <v>0</v>
      </c>
      <c r="Q49" s="189">
        <f t="shared" si="13"/>
        <v>0.25</v>
      </c>
      <c r="R49" s="189">
        <f t="shared" si="14"/>
        <v>0.25</v>
      </c>
      <c r="S49" s="189">
        <f t="shared" si="15"/>
        <v>0.25</v>
      </c>
      <c r="T49" s="189">
        <f t="shared" si="16"/>
        <v>0.25</v>
      </c>
      <c r="U49" s="189">
        <f t="shared" si="17"/>
        <v>0.25</v>
      </c>
      <c r="V49" s="189">
        <f t="shared" si="18"/>
        <v>0.25</v>
      </c>
      <c r="W49" s="189">
        <f t="shared" si="26"/>
        <v>0.25</v>
      </c>
      <c r="X49" s="189">
        <f t="shared" si="27"/>
        <v>0.25</v>
      </c>
      <c r="Y49" s="189">
        <f t="shared" si="28"/>
        <v>0</v>
      </c>
      <c r="Z49" s="197"/>
      <c r="AA49" s="198">
        <f>SUM(Uträkning!$O49:$Z49)</f>
        <v>2</v>
      </c>
      <c r="AB49" s="198">
        <f>SUM(Uträkning!$D49:$N49)-Uträkning!$AA49</f>
        <v>0</v>
      </c>
      <c r="AC49" s="196"/>
    </row>
    <row r="50" spans="1:29" ht="15.5" thickTop="1" thickBot="1" x14ac:dyDescent="0.4">
      <c r="A50" s="191" t="s">
        <v>149</v>
      </c>
      <c r="B50" s="192">
        <v>8</v>
      </c>
      <c r="C50" s="192" t="s">
        <v>87</v>
      </c>
      <c r="D50" s="192"/>
      <c r="E50" s="192"/>
      <c r="F50" s="192">
        <v>2</v>
      </c>
      <c r="G50" s="192"/>
      <c r="H50" s="192"/>
      <c r="I50" s="192"/>
      <c r="J50" s="192"/>
      <c r="K50" s="192"/>
      <c r="L50" s="192"/>
      <c r="M50" s="192"/>
      <c r="N50" s="192"/>
      <c r="O50" s="189">
        <f t="shared" si="0"/>
        <v>0</v>
      </c>
      <c r="P50" s="189">
        <f t="shared" si="12"/>
        <v>0</v>
      </c>
      <c r="Q50" s="189">
        <f t="shared" si="13"/>
        <v>0.25</v>
      </c>
      <c r="R50" s="189">
        <f t="shared" si="14"/>
        <v>0.25</v>
      </c>
      <c r="S50" s="189">
        <f t="shared" si="15"/>
        <v>0.25</v>
      </c>
      <c r="T50" s="189">
        <f t="shared" si="16"/>
        <v>0.25</v>
      </c>
      <c r="U50" s="189">
        <f t="shared" si="17"/>
        <v>0.25</v>
      </c>
      <c r="V50" s="189">
        <f t="shared" si="18"/>
        <v>0.25</v>
      </c>
      <c r="W50" s="189">
        <f t="shared" si="26"/>
        <v>0.25</v>
      </c>
      <c r="X50" s="189">
        <f t="shared" si="27"/>
        <v>0.25</v>
      </c>
      <c r="Y50" s="189">
        <f t="shared" si="28"/>
        <v>0</v>
      </c>
      <c r="Z50" s="193"/>
      <c r="AA50" s="194">
        <f>SUM(Uträkning!$O50:$Z50)</f>
        <v>2</v>
      </c>
      <c r="AB50" s="194">
        <f>SUM(Uträkning!$D50:$N50)-Uträkning!$AA50</f>
        <v>0</v>
      </c>
      <c r="AC50" s="192"/>
    </row>
    <row r="51" spans="1:29" ht="15.5" thickTop="1" thickBot="1" x14ac:dyDescent="0.4">
      <c r="A51" s="195" t="s">
        <v>149</v>
      </c>
      <c r="B51" s="196">
        <v>8</v>
      </c>
      <c r="C51" s="196" t="s">
        <v>88</v>
      </c>
      <c r="D51" s="196">
        <v>0.05</v>
      </c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89">
        <f>$D51/$B51/2</f>
        <v>3.1250000000000002E-3</v>
      </c>
      <c r="P51" s="189">
        <f t="shared" si="12"/>
        <v>6.2500000000000003E-3</v>
      </c>
      <c r="Q51" s="189">
        <f t="shared" si="13"/>
        <v>6.2500000000000003E-3</v>
      </c>
      <c r="R51" s="189">
        <f t="shared" si="14"/>
        <v>6.2500000000000003E-3</v>
      </c>
      <c r="S51" s="189">
        <f t="shared" si="15"/>
        <v>6.2500000000000003E-3</v>
      </c>
      <c r="T51" s="189">
        <f t="shared" si="16"/>
        <v>6.2500000000000003E-3</v>
      </c>
      <c r="U51" s="189">
        <f t="shared" si="17"/>
        <v>6.2500000000000003E-3</v>
      </c>
      <c r="V51" s="189">
        <f t="shared" si="18"/>
        <v>6.2500000000000003E-3</v>
      </c>
      <c r="W51" s="189">
        <f>O51</f>
        <v>3.1250000000000002E-3</v>
      </c>
      <c r="X51" s="189">
        <f t="shared" si="27"/>
        <v>0</v>
      </c>
      <c r="Y51" s="189">
        <f t="shared" si="28"/>
        <v>0</v>
      </c>
      <c r="Z51" s="197"/>
      <c r="AA51" s="198">
        <f>SUM(Uträkning!$O51:$Z51)</f>
        <v>4.9999999999999996E-2</v>
      </c>
      <c r="AB51" s="198">
        <f>SUM(Uträkning!$D51:$N51)-Uträkning!$AA51</f>
        <v>0</v>
      </c>
      <c r="AC51" s="196"/>
    </row>
    <row r="52" spans="1:29" ht="15.5" thickTop="1" thickBot="1" x14ac:dyDescent="0.4">
      <c r="A52" s="191" t="s">
        <v>149</v>
      </c>
      <c r="B52" s="192">
        <v>8</v>
      </c>
      <c r="C52" s="192" t="s">
        <v>89</v>
      </c>
      <c r="D52" s="192"/>
      <c r="E52" s="192"/>
      <c r="F52" s="192">
        <v>1.5</v>
      </c>
      <c r="G52" s="192"/>
      <c r="H52" s="192"/>
      <c r="I52" s="192"/>
      <c r="J52" s="192"/>
      <c r="K52" s="192"/>
      <c r="L52" s="192"/>
      <c r="M52" s="192"/>
      <c r="N52" s="192"/>
      <c r="O52" s="189">
        <f t="shared" si="0"/>
        <v>0</v>
      </c>
      <c r="P52" s="189">
        <f t="shared" si="12"/>
        <v>0</v>
      </c>
      <c r="Q52" s="189">
        <f t="shared" si="13"/>
        <v>0.1875</v>
      </c>
      <c r="R52" s="189">
        <f t="shared" si="14"/>
        <v>0.1875</v>
      </c>
      <c r="S52" s="189">
        <f t="shared" si="15"/>
        <v>0.1875</v>
      </c>
      <c r="T52" s="189">
        <f t="shared" si="16"/>
        <v>0.1875</v>
      </c>
      <c r="U52" s="189">
        <f t="shared" si="17"/>
        <v>0.1875</v>
      </c>
      <c r="V52" s="189">
        <f t="shared" si="18"/>
        <v>0.1875</v>
      </c>
      <c r="W52" s="189">
        <f t="shared" si="26"/>
        <v>0.1875</v>
      </c>
      <c r="X52" s="189">
        <f t="shared" si="27"/>
        <v>0.1875</v>
      </c>
      <c r="Y52" s="189">
        <f t="shared" si="28"/>
        <v>0</v>
      </c>
      <c r="Z52" s="193"/>
      <c r="AA52" s="194">
        <f>SUM(Uträkning!$O52:$Z52)</f>
        <v>1.5</v>
      </c>
      <c r="AB52" s="194">
        <f>SUM(Uträkning!$D52:$N52)-Uträkning!$AA52</f>
        <v>0</v>
      </c>
      <c r="AC52" s="192"/>
    </row>
    <row r="53" spans="1:29" ht="15.5" thickTop="1" thickBot="1" x14ac:dyDescent="0.4">
      <c r="A53" s="195" t="s">
        <v>149</v>
      </c>
      <c r="B53" s="196">
        <v>8</v>
      </c>
      <c r="C53" s="196" t="s">
        <v>90</v>
      </c>
      <c r="D53" s="196"/>
      <c r="E53" s="196"/>
      <c r="F53" s="196">
        <v>1.5</v>
      </c>
      <c r="G53" s="196"/>
      <c r="H53" s="196"/>
      <c r="I53" s="196"/>
      <c r="J53" s="196"/>
      <c r="K53" s="196"/>
      <c r="L53" s="196"/>
      <c r="M53" s="196"/>
      <c r="N53" s="196"/>
      <c r="O53" s="189">
        <f t="shared" si="0"/>
        <v>0</v>
      </c>
      <c r="P53" s="189">
        <f t="shared" si="12"/>
        <v>0</v>
      </c>
      <c r="Q53" s="189">
        <f t="shared" si="13"/>
        <v>0.1875</v>
      </c>
      <c r="R53" s="189">
        <f t="shared" si="14"/>
        <v>0.1875</v>
      </c>
      <c r="S53" s="189">
        <f t="shared" si="15"/>
        <v>0.1875</v>
      </c>
      <c r="T53" s="189">
        <f t="shared" si="16"/>
        <v>0.1875</v>
      </c>
      <c r="U53" s="189">
        <f t="shared" si="17"/>
        <v>0.1875</v>
      </c>
      <c r="V53" s="189">
        <f t="shared" si="18"/>
        <v>0.1875</v>
      </c>
      <c r="W53" s="189">
        <f t="shared" si="26"/>
        <v>0.1875</v>
      </c>
      <c r="X53" s="189">
        <f t="shared" si="27"/>
        <v>0.1875</v>
      </c>
      <c r="Y53" s="189">
        <f t="shared" si="28"/>
        <v>0</v>
      </c>
      <c r="Z53" s="197"/>
      <c r="AA53" s="198">
        <f>SUM(Uträkning!$O53:$Z53)</f>
        <v>1.5</v>
      </c>
      <c r="AB53" s="198">
        <f>SUM(Uträkning!$D53:$N53)-Uträkning!$AA53</f>
        <v>0</v>
      </c>
      <c r="AC53" s="196"/>
    </row>
    <row r="54" spans="1:29" ht="15.5" thickTop="1" thickBot="1" x14ac:dyDescent="0.4">
      <c r="A54" s="191" t="s">
        <v>149</v>
      </c>
      <c r="B54" s="192">
        <v>5</v>
      </c>
      <c r="C54" s="192" t="s">
        <v>91</v>
      </c>
      <c r="D54" s="192">
        <v>1.2</v>
      </c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89">
        <f t="shared" ref="O54:O59" si="46">$D54/$B54/2</f>
        <v>0.12</v>
      </c>
      <c r="P54" s="189">
        <f t="shared" si="12"/>
        <v>0.24</v>
      </c>
      <c r="Q54" s="189">
        <f t="shared" si="13"/>
        <v>0.24</v>
      </c>
      <c r="R54" s="189">
        <f t="shared" si="14"/>
        <v>0.24</v>
      </c>
      <c r="S54" s="189">
        <f t="shared" si="15"/>
        <v>0.24</v>
      </c>
      <c r="T54" s="189">
        <f t="shared" ref="T54:T59" si="47">($E54+$F54+$G54+$H54+$I54)/$B54+O54</f>
        <v>0.12</v>
      </c>
      <c r="U54" s="189">
        <f t="shared" ref="U54:U59" si="48">($F54+$G54+$H54+$I54+$J54)/$B54</f>
        <v>0</v>
      </c>
      <c r="V54" s="189">
        <f t="shared" ref="V54:V59" si="49">($G54+$H54+$I54+$J54+$K54)/$B54</f>
        <v>0</v>
      </c>
      <c r="W54" s="189">
        <f t="shared" ref="W54:W59" si="50">($H54+$I54+$J54+$K54+$L54)/$B54</f>
        <v>0</v>
      </c>
      <c r="X54" s="189">
        <f t="shared" ref="X54:X59" si="51">($I54+$J54+$K54+$L54+$M54)/$B54</f>
        <v>0</v>
      </c>
      <c r="Y54" s="189">
        <f t="shared" ref="Y54:Y59" si="52">($J54+$K54+$L54+$M54+$N54)/$B54</f>
        <v>0</v>
      </c>
      <c r="Z54" s="193"/>
      <c r="AA54" s="194">
        <f>SUM(Uträkning!$O54:$Z54)</f>
        <v>1.2000000000000002</v>
      </c>
      <c r="AB54" s="194">
        <f>SUM(Uträkning!$D54:$N54)-Uträkning!$AA54</f>
        <v>0</v>
      </c>
      <c r="AC54" s="192"/>
    </row>
    <row r="55" spans="1:29" ht="15.5" thickTop="1" thickBot="1" x14ac:dyDescent="0.4">
      <c r="A55" s="195" t="s">
        <v>149</v>
      </c>
      <c r="B55" s="196">
        <v>5</v>
      </c>
      <c r="C55" s="196" t="s">
        <v>92</v>
      </c>
      <c r="D55" s="196">
        <v>0.65</v>
      </c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89">
        <f t="shared" si="46"/>
        <v>6.5000000000000002E-2</v>
      </c>
      <c r="P55" s="189">
        <f t="shared" si="12"/>
        <v>0.13</v>
      </c>
      <c r="Q55" s="189">
        <f t="shared" si="13"/>
        <v>0.13</v>
      </c>
      <c r="R55" s="189">
        <f t="shared" si="14"/>
        <v>0.13</v>
      </c>
      <c r="S55" s="189">
        <f t="shared" si="15"/>
        <v>0.13</v>
      </c>
      <c r="T55" s="189">
        <f t="shared" si="47"/>
        <v>6.5000000000000002E-2</v>
      </c>
      <c r="U55" s="189">
        <f t="shared" si="48"/>
        <v>0</v>
      </c>
      <c r="V55" s="189">
        <f t="shared" si="49"/>
        <v>0</v>
      </c>
      <c r="W55" s="189">
        <f t="shared" si="50"/>
        <v>0</v>
      </c>
      <c r="X55" s="189">
        <f t="shared" si="51"/>
        <v>0</v>
      </c>
      <c r="Y55" s="189">
        <f t="shared" si="52"/>
        <v>0</v>
      </c>
      <c r="Z55" s="197"/>
      <c r="AA55" s="198">
        <f>SUM(Uträkning!$O55:$Z55)</f>
        <v>0.64999999999999991</v>
      </c>
      <c r="AB55" s="198">
        <f>SUM(Uträkning!$D55:$N55)-Uträkning!$AA55</f>
        <v>0</v>
      </c>
      <c r="AC55" s="196"/>
    </row>
    <row r="56" spans="1:29" ht="15.5" thickTop="1" thickBot="1" x14ac:dyDescent="0.4">
      <c r="A56" s="191" t="s">
        <v>149</v>
      </c>
      <c r="B56" s="192">
        <v>5</v>
      </c>
      <c r="C56" s="192" t="s">
        <v>92</v>
      </c>
      <c r="D56" s="192">
        <v>0.65</v>
      </c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89">
        <f t="shared" si="46"/>
        <v>6.5000000000000002E-2</v>
      </c>
      <c r="P56" s="189">
        <f t="shared" si="12"/>
        <v>0.13</v>
      </c>
      <c r="Q56" s="189">
        <f t="shared" si="13"/>
        <v>0.13</v>
      </c>
      <c r="R56" s="189">
        <f t="shared" si="14"/>
        <v>0.13</v>
      </c>
      <c r="S56" s="189">
        <f t="shared" si="15"/>
        <v>0.13</v>
      </c>
      <c r="T56" s="189">
        <f t="shared" si="47"/>
        <v>6.5000000000000002E-2</v>
      </c>
      <c r="U56" s="189">
        <f t="shared" si="48"/>
        <v>0</v>
      </c>
      <c r="V56" s="189">
        <f t="shared" si="49"/>
        <v>0</v>
      </c>
      <c r="W56" s="189">
        <f t="shared" si="50"/>
        <v>0</v>
      </c>
      <c r="X56" s="189">
        <f t="shared" si="51"/>
        <v>0</v>
      </c>
      <c r="Y56" s="189">
        <f t="shared" si="52"/>
        <v>0</v>
      </c>
      <c r="Z56" s="193"/>
      <c r="AA56" s="194">
        <f>SUM(Uträkning!$O56:$Z56)</f>
        <v>0.64999999999999991</v>
      </c>
      <c r="AB56" s="194">
        <f>SUM(Uträkning!$D56:$N56)-Uträkning!$AA56</f>
        <v>0</v>
      </c>
      <c r="AC56" s="192"/>
    </row>
    <row r="57" spans="1:29" ht="15.5" thickTop="1" thickBot="1" x14ac:dyDescent="0.4">
      <c r="A57" s="195" t="s">
        <v>149</v>
      </c>
      <c r="B57" s="196">
        <v>5</v>
      </c>
      <c r="C57" s="196" t="s">
        <v>93</v>
      </c>
      <c r="D57" s="196">
        <v>0.35</v>
      </c>
      <c r="E57" s="196"/>
      <c r="F57" s="196">
        <v>0.35</v>
      </c>
      <c r="G57" s="196"/>
      <c r="H57" s="196"/>
      <c r="I57" s="196"/>
      <c r="J57" s="196"/>
      <c r="K57" s="196"/>
      <c r="L57" s="196"/>
      <c r="M57" s="196"/>
      <c r="N57" s="196"/>
      <c r="O57" s="189">
        <f t="shared" si="46"/>
        <v>3.4999999999999996E-2</v>
      </c>
      <c r="P57" s="189">
        <f t="shared" si="12"/>
        <v>6.9999999999999993E-2</v>
      </c>
      <c r="Q57" s="189">
        <f t="shared" si="13"/>
        <v>0.13999999999999999</v>
      </c>
      <c r="R57" s="189">
        <f t="shared" si="14"/>
        <v>0.13999999999999999</v>
      </c>
      <c r="S57" s="189">
        <f t="shared" si="15"/>
        <v>0.13999999999999999</v>
      </c>
      <c r="T57" s="189">
        <f t="shared" si="47"/>
        <v>0.10499999999999998</v>
      </c>
      <c r="U57" s="189">
        <f t="shared" si="48"/>
        <v>6.9999999999999993E-2</v>
      </c>
      <c r="V57" s="189">
        <f t="shared" si="49"/>
        <v>0</v>
      </c>
      <c r="W57" s="189">
        <f t="shared" si="50"/>
        <v>0</v>
      </c>
      <c r="X57" s="189">
        <f t="shared" si="51"/>
        <v>0</v>
      </c>
      <c r="Y57" s="189">
        <f t="shared" si="52"/>
        <v>0</v>
      </c>
      <c r="Z57" s="197"/>
      <c r="AA57" s="198">
        <f>SUM(Uträkning!$O57:$Z57)</f>
        <v>0.69999999999999984</v>
      </c>
      <c r="AB57" s="198">
        <f>SUM(Uträkning!$D57:$N57)-Uträkning!$AA57</f>
        <v>0</v>
      </c>
      <c r="AC57" s="196"/>
    </row>
    <row r="58" spans="1:29" ht="15.5" thickTop="1" thickBot="1" x14ac:dyDescent="0.4">
      <c r="A58" s="191" t="s">
        <v>149</v>
      </c>
      <c r="B58" s="192">
        <v>5</v>
      </c>
      <c r="C58" s="192" t="s">
        <v>94</v>
      </c>
      <c r="D58" s="192">
        <v>0.35</v>
      </c>
      <c r="E58" s="192"/>
      <c r="F58" s="192">
        <v>0.15</v>
      </c>
      <c r="G58" s="192"/>
      <c r="H58" s="192"/>
      <c r="I58" s="192"/>
      <c r="J58" s="192"/>
      <c r="K58" s="192"/>
      <c r="L58" s="192"/>
      <c r="M58" s="192"/>
      <c r="N58" s="192"/>
      <c r="O58" s="189">
        <f t="shared" si="46"/>
        <v>3.4999999999999996E-2</v>
      </c>
      <c r="P58" s="189">
        <f t="shared" si="12"/>
        <v>6.9999999999999993E-2</v>
      </c>
      <c r="Q58" s="189">
        <f t="shared" si="13"/>
        <v>0.1</v>
      </c>
      <c r="R58" s="189">
        <f t="shared" si="14"/>
        <v>0.1</v>
      </c>
      <c r="S58" s="189">
        <f t="shared" si="15"/>
        <v>0.1</v>
      </c>
      <c r="T58" s="189">
        <f t="shared" si="47"/>
        <v>6.5000000000000002E-2</v>
      </c>
      <c r="U58" s="189">
        <f t="shared" si="48"/>
        <v>0.03</v>
      </c>
      <c r="V58" s="189">
        <f t="shared" si="49"/>
        <v>0</v>
      </c>
      <c r="W58" s="189">
        <f t="shared" si="50"/>
        <v>0</v>
      </c>
      <c r="X58" s="189">
        <f t="shared" si="51"/>
        <v>0</v>
      </c>
      <c r="Y58" s="189">
        <f t="shared" si="52"/>
        <v>0</v>
      </c>
      <c r="Z58" s="193"/>
      <c r="AA58" s="194">
        <f>SUM(Uträkning!$O58:$Z58)</f>
        <v>0.5</v>
      </c>
      <c r="AB58" s="194">
        <f>SUM(Uträkning!$D58:$N58)-Uträkning!$AA58</f>
        <v>0</v>
      </c>
      <c r="AC58" s="192"/>
    </row>
    <row r="59" spans="1:29" ht="15.5" thickTop="1" thickBot="1" x14ac:dyDescent="0.4">
      <c r="A59" s="195" t="s">
        <v>149</v>
      </c>
      <c r="B59" s="196">
        <v>5</v>
      </c>
      <c r="C59" s="196" t="s">
        <v>95</v>
      </c>
      <c r="D59" s="196">
        <v>0.1</v>
      </c>
      <c r="E59" s="196">
        <v>0.1</v>
      </c>
      <c r="F59" s="196">
        <v>0.1</v>
      </c>
      <c r="G59" s="196"/>
      <c r="H59" s="196"/>
      <c r="I59" s="196"/>
      <c r="J59" s="196"/>
      <c r="K59" s="196"/>
      <c r="L59" s="196"/>
      <c r="M59" s="196"/>
      <c r="N59" s="196"/>
      <c r="O59" s="189">
        <f t="shared" si="46"/>
        <v>0.01</v>
      </c>
      <c r="P59" s="189">
        <f t="shared" si="12"/>
        <v>0.04</v>
      </c>
      <c r="Q59" s="189">
        <f t="shared" si="13"/>
        <v>6.0000000000000012E-2</v>
      </c>
      <c r="R59" s="189">
        <f t="shared" si="14"/>
        <v>6.0000000000000012E-2</v>
      </c>
      <c r="S59" s="189">
        <f t="shared" si="15"/>
        <v>6.0000000000000012E-2</v>
      </c>
      <c r="T59" s="189">
        <f t="shared" si="47"/>
        <v>0.05</v>
      </c>
      <c r="U59" s="189">
        <f t="shared" si="48"/>
        <v>0.02</v>
      </c>
      <c r="V59" s="189">
        <f t="shared" si="49"/>
        <v>0</v>
      </c>
      <c r="W59" s="189">
        <f t="shared" si="50"/>
        <v>0</v>
      </c>
      <c r="X59" s="189">
        <f t="shared" si="51"/>
        <v>0</v>
      </c>
      <c r="Y59" s="189">
        <f t="shared" si="52"/>
        <v>0</v>
      </c>
      <c r="Z59" s="197"/>
      <c r="AA59" s="198">
        <f>SUM(Uträkning!$O59:$Z59)</f>
        <v>0.30000000000000004</v>
      </c>
      <c r="AB59" s="198">
        <f>SUM(Uträkning!$D59:$N59)-Uträkning!$AA59</f>
        <v>0</v>
      </c>
      <c r="AC59" s="196"/>
    </row>
    <row r="60" spans="1:29" ht="15.5" thickTop="1" thickBot="1" x14ac:dyDescent="0.4">
      <c r="A60" s="191" t="s">
        <v>149</v>
      </c>
      <c r="B60" s="192">
        <v>8</v>
      </c>
      <c r="C60" s="192" t="s">
        <v>96</v>
      </c>
      <c r="D60" s="192"/>
      <c r="E60" s="192"/>
      <c r="F60" s="192"/>
      <c r="G60" s="192"/>
      <c r="H60" s="192">
        <v>8.5</v>
      </c>
      <c r="I60" s="192"/>
      <c r="J60" s="192"/>
      <c r="K60" s="192"/>
      <c r="L60" s="192"/>
      <c r="M60" s="192"/>
      <c r="N60" s="192"/>
      <c r="O60" s="189">
        <f t="shared" si="0"/>
        <v>0</v>
      </c>
      <c r="P60" s="189">
        <f t="shared" si="12"/>
        <v>0</v>
      </c>
      <c r="Q60" s="189">
        <f t="shared" si="13"/>
        <v>0</v>
      </c>
      <c r="R60" s="189">
        <f t="shared" si="14"/>
        <v>0</v>
      </c>
      <c r="S60" s="189">
        <f t="shared" si="15"/>
        <v>1.0625</v>
      </c>
      <c r="T60" s="189">
        <f t="shared" si="16"/>
        <v>1.0625</v>
      </c>
      <c r="U60" s="189">
        <f t="shared" si="17"/>
        <v>1.0625</v>
      </c>
      <c r="V60" s="189">
        <f t="shared" si="18"/>
        <v>1.0625</v>
      </c>
      <c r="W60" s="189">
        <f t="shared" ref="W60:W61" si="53">($E60+$F60+$G60+$H60+$I60+$J60+$K60+$L60)/$B60</f>
        <v>1.0625</v>
      </c>
      <c r="X60" s="189">
        <f t="shared" ref="X60:X61" si="54">($F60+$G60+$H60+$I60+$J60+$K60+$L60+$M60)/$B60</f>
        <v>1.0625</v>
      </c>
      <c r="Y60" s="189">
        <f t="shared" ref="Y60:Y61" si="55">($G60+$H60+$I60+$J60+$K60+$L60+$M60+$N60)/$B60</f>
        <v>1.0625</v>
      </c>
      <c r="Z60" s="193">
        <v>1.0625</v>
      </c>
      <c r="AA60" s="194">
        <f>SUM(Uträkning!$O60:$Z60)</f>
        <v>8.5</v>
      </c>
      <c r="AB60" s="194">
        <f>SUM(Uträkning!$D60:$N60)-Uträkning!$AA60</f>
        <v>0</v>
      </c>
      <c r="AC60" s="192"/>
    </row>
    <row r="61" spans="1:29" ht="15.5" thickTop="1" thickBot="1" x14ac:dyDescent="0.4">
      <c r="A61" s="195" t="s">
        <v>149</v>
      </c>
      <c r="B61" s="196">
        <v>8</v>
      </c>
      <c r="C61" s="196" t="s">
        <v>97</v>
      </c>
      <c r="D61" s="196"/>
      <c r="E61" s="196"/>
      <c r="F61" s="196"/>
      <c r="G61" s="196">
        <v>0.8</v>
      </c>
      <c r="H61" s="196"/>
      <c r="I61" s="196"/>
      <c r="J61" s="196"/>
      <c r="K61" s="196"/>
      <c r="L61" s="196">
        <v>0.9</v>
      </c>
      <c r="M61" s="196"/>
      <c r="N61" s="196"/>
      <c r="O61" s="189">
        <f t="shared" si="0"/>
        <v>0</v>
      </c>
      <c r="P61" s="189">
        <f t="shared" si="12"/>
        <v>0</v>
      </c>
      <c r="Q61" s="189">
        <f t="shared" si="13"/>
        <v>0</v>
      </c>
      <c r="R61" s="189">
        <f t="shared" si="14"/>
        <v>0.1</v>
      </c>
      <c r="S61" s="189">
        <f t="shared" si="15"/>
        <v>0.1</v>
      </c>
      <c r="T61" s="189">
        <f t="shared" si="16"/>
        <v>0.1</v>
      </c>
      <c r="U61" s="189">
        <f t="shared" si="17"/>
        <v>0.1</v>
      </c>
      <c r="V61" s="189">
        <f t="shared" si="18"/>
        <v>0.1</v>
      </c>
      <c r="W61" s="189">
        <f t="shared" si="53"/>
        <v>0.21250000000000002</v>
      </c>
      <c r="X61" s="189">
        <f t="shared" si="54"/>
        <v>0.21250000000000002</v>
      </c>
      <c r="Y61" s="189">
        <f t="shared" si="55"/>
        <v>0.21250000000000002</v>
      </c>
      <c r="Z61" s="197">
        <v>0.5625</v>
      </c>
      <c r="AA61" s="198">
        <f>SUM(Uträkning!$O61:$Z61)</f>
        <v>1.7000000000000002</v>
      </c>
      <c r="AB61" s="198">
        <f>SUM(Uträkning!$D61:$N61)-Uträkning!$AA61</f>
        <v>0</v>
      </c>
      <c r="AC61" s="196"/>
    </row>
    <row r="62" spans="1:29" ht="15.5" thickTop="1" thickBot="1" x14ac:dyDescent="0.4">
      <c r="A62" s="191" t="s">
        <v>149</v>
      </c>
      <c r="B62" s="192">
        <v>5</v>
      </c>
      <c r="C62" s="192" t="s">
        <v>98</v>
      </c>
      <c r="D62" s="192">
        <v>0.12</v>
      </c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89">
        <f>$D62/$B62/2</f>
        <v>1.2E-2</v>
      </c>
      <c r="P62" s="189">
        <f>($D62+$E62)/$B62</f>
        <v>2.4E-2</v>
      </c>
      <c r="Q62" s="189">
        <f>($D62+$E62+$F62)/$B62</f>
        <v>2.4E-2</v>
      </c>
      <c r="R62" s="189">
        <f>($D62+$E62+$F62+$G62)/$B62</f>
        <v>2.4E-2</v>
      </c>
      <c r="S62" s="189">
        <f>($D62+$E62+$F62+$G62+$H62)/$B62</f>
        <v>2.4E-2</v>
      </c>
      <c r="T62" s="189">
        <f>($E62+$F62+$G62+$H62+$I62)/$B62+O62</f>
        <v>1.2E-2</v>
      </c>
      <c r="U62" s="189">
        <f>($F62+$G62+$H62+$I62+$J62)/$B62</f>
        <v>0</v>
      </c>
      <c r="V62" s="189">
        <f>($G62+$H62+$I62+$J62+$K62)/$B62</f>
        <v>0</v>
      </c>
      <c r="W62" s="189">
        <f>($H62+$I62+$J62+$K62+$L62)/$B62</f>
        <v>0</v>
      </c>
      <c r="X62" s="189">
        <f>($I62+$J62+$K62+$L62+$M62)/$B62</f>
        <v>0</v>
      </c>
      <c r="Y62" s="189">
        <f>($J62+$K62+$L62+$M62+$N62)/$B62</f>
        <v>0</v>
      </c>
      <c r="Z62" s="193"/>
      <c r="AA62" s="194">
        <f>SUM(Uträkning!$O62:$Z62)</f>
        <v>0.12000000000000001</v>
      </c>
      <c r="AB62" s="194">
        <f>SUM(Uträkning!$D62:$N62)-Uträkning!$AA62</f>
        <v>0</v>
      </c>
      <c r="AC62" s="192"/>
    </row>
    <row r="63" spans="1:29" ht="15.5" thickTop="1" thickBot="1" x14ac:dyDescent="0.4">
      <c r="A63" s="195" t="s">
        <v>149</v>
      </c>
      <c r="B63" s="196">
        <v>8</v>
      </c>
      <c r="C63" s="196" t="s">
        <v>99</v>
      </c>
      <c r="D63" s="196">
        <v>8</v>
      </c>
      <c r="E63" s="196"/>
      <c r="F63" s="196"/>
      <c r="G63" s="196"/>
      <c r="H63" s="196"/>
      <c r="I63" s="196"/>
      <c r="J63" s="196"/>
      <c r="K63" s="196"/>
      <c r="L63" s="196">
        <v>8.5</v>
      </c>
      <c r="M63" s="196"/>
      <c r="N63" s="196"/>
      <c r="O63" s="189">
        <f>$D63/$B63/2</f>
        <v>0.5</v>
      </c>
      <c r="P63" s="189">
        <f t="shared" si="12"/>
        <v>1</v>
      </c>
      <c r="Q63" s="189">
        <f t="shared" si="13"/>
        <v>1</v>
      </c>
      <c r="R63" s="189">
        <f t="shared" si="14"/>
        <v>1</v>
      </c>
      <c r="S63" s="189">
        <f t="shared" si="15"/>
        <v>1</v>
      </c>
      <c r="T63" s="189">
        <f t="shared" si="16"/>
        <v>1</v>
      </c>
      <c r="U63" s="189">
        <f t="shared" si="17"/>
        <v>1</v>
      </c>
      <c r="V63" s="189">
        <f>($D63+$E63+$F63+$G63+$H63+$I63+$J63+$K63)/$B63+O63</f>
        <v>1.5</v>
      </c>
      <c r="W63" s="189">
        <f>O63</f>
        <v>0.5</v>
      </c>
      <c r="X63" s="189">
        <f t="shared" ref="X63:X65" si="56">($F63+$G63+$H63+$I63+$J63+$K63+$L63+$M63)/$B63</f>
        <v>1.0625</v>
      </c>
      <c r="Y63" s="189">
        <f t="shared" ref="Y63:Y65" si="57">($G63+$H63+$I63+$J63+$K63+$L63+$M63+$N63)/$B63</f>
        <v>1.0625</v>
      </c>
      <c r="Z63" s="197">
        <v>5.875</v>
      </c>
      <c r="AA63" s="198">
        <f>SUM(Uträkning!$O63:$Z63)</f>
        <v>16.5</v>
      </c>
      <c r="AB63" s="198">
        <f>SUM(Uträkning!$D63:$N63)-Uträkning!$AA63</f>
        <v>0</v>
      </c>
      <c r="AC63" s="196"/>
    </row>
    <row r="64" spans="1:29" ht="15.5" thickTop="1" thickBot="1" x14ac:dyDescent="0.4">
      <c r="A64" s="191" t="s">
        <v>149</v>
      </c>
      <c r="B64" s="192">
        <v>8</v>
      </c>
      <c r="C64" s="192" t="s">
        <v>100</v>
      </c>
      <c r="D64" s="192"/>
      <c r="E64" s="192">
        <v>8.5</v>
      </c>
      <c r="F64" s="192"/>
      <c r="G64" s="192"/>
      <c r="H64" s="192"/>
      <c r="I64" s="192"/>
      <c r="J64" s="192"/>
      <c r="K64" s="192"/>
      <c r="L64" s="192"/>
      <c r="M64" s="192">
        <v>9</v>
      </c>
      <c r="N64" s="192"/>
      <c r="O64" s="189">
        <f t="shared" si="0"/>
        <v>0</v>
      </c>
      <c r="P64" s="189">
        <f t="shared" si="12"/>
        <v>1.0625</v>
      </c>
      <c r="Q64" s="189">
        <f t="shared" si="13"/>
        <v>1.0625</v>
      </c>
      <c r="R64" s="189">
        <f t="shared" si="14"/>
        <v>1.0625</v>
      </c>
      <c r="S64" s="189">
        <f t="shared" si="15"/>
        <v>1.0625</v>
      </c>
      <c r="T64" s="189">
        <f t="shared" si="16"/>
        <v>1.0625</v>
      </c>
      <c r="U64" s="189">
        <f t="shared" si="17"/>
        <v>1.0625</v>
      </c>
      <c r="V64" s="189">
        <f t="shared" si="18"/>
        <v>1.0625</v>
      </c>
      <c r="W64" s="189">
        <f t="shared" ref="W64:W65" si="58">($E64+$F64+$G64+$H64+$I64+$J64+$K64+$L64)/$B64</f>
        <v>1.0625</v>
      </c>
      <c r="X64" s="189">
        <f t="shared" si="56"/>
        <v>1.125</v>
      </c>
      <c r="Y64" s="189">
        <f t="shared" si="57"/>
        <v>1.125</v>
      </c>
      <c r="Z64" s="193">
        <v>6.75</v>
      </c>
      <c r="AA64" s="194">
        <f>SUM(Uträkning!$O64:$Z64)</f>
        <v>17.5</v>
      </c>
      <c r="AB64" s="194">
        <f>SUM(Uträkning!$D64:$N64)-Uträkning!$AA64</f>
        <v>0</v>
      </c>
      <c r="AC64" s="192"/>
    </row>
    <row r="65" spans="1:29" ht="15.5" thickTop="1" thickBot="1" x14ac:dyDescent="0.4">
      <c r="A65" s="195" t="s">
        <v>149</v>
      </c>
      <c r="B65" s="196">
        <v>8</v>
      </c>
      <c r="C65" s="196" t="s">
        <v>101</v>
      </c>
      <c r="D65" s="196"/>
      <c r="E65" s="196"/>
      <c r="F65" s="196">
        <v>8.5</v>
      </c>
      <c r="G65" s="196"/>
      <c r="H65" s="196"/>
      <c r="I65" s="196"/>
      <c r="J65" s="196"/>
      <c r="K65" s="196"/>
      <c r="L65" s="196"/>
      <c r="M65" s="196"/>
      <c r="N65" s="196"/>
      <c r="O65" s="189">
        <f t="shared" si="0"/>
        <v>0</v>
      </c>
      <c r="P65" s="189">
        <f t="shared" si="12"/>
        <v>0</v>
      </c>
      <c r="Q65" s="189">
        <f t="shared" si="13"/>
        <v>1.0625</v>
      </c>
      <c r="R65" s="189">
        <f t="shared" si="14"/>
        <v>1.0625</v>
      </c>
      <c r="S65" s="189">
        <f t="shared" si="15"/>
        <v>1.0625</v>
      </c>
      <c r="T65" s="189">
        <f t="shared" si="16"/>
        <v>1.0625</v>
      </c>
      <c r="U65" s="189">
        <f t="shared" si="17"/>
        <v>1.0625</v>
      </c>
      <c r="V65" s="189">
        <f t="shared" si="18"/>
        <v>1.0625</v>
      </c>
      <c r="W65" s="189">
        <f t="shared" si="58"/>
        <v>1.0625</v>
      </c>
      <c r="X65" s="189">
        <f t="shared" si="56"/>
        <v>1.0625</v>
      </c>
      <c r="Y65" s="189">
        <f t="shared" si="57"/>
        <v>0</v>
      </c>
      <c r="Z65" s="197"/>
      <c r="AA65" s="198">
        <f>SUM(Uträkning!$O65:$Z65)</f>
        <v>8.5</v>
      </c>
      <c r="AB65" s="198">
        <f>SUM(Uträkning!$D65:$N65)-Uträkning!$AA65</f>
        <v>0</v>
      </c>
      <c r="AC65" s="196"/>
    </row>
    <row r="66" spans="1:29" ht="15.5" thickTop="1" thickBot="1" x14ac:dyDescent="0.4">
      <c r="A66" s="191" t="s">
        <v>149</v>
      </c>
      <c r="B66" s="192">
        <v>10</v>
      </c>
      <c r="C66" s="192" t="s">
        <v>102</v>
      </c>
      <c r="D66" s="192">
        <v>2.5</v>
      </c>
      <c r="E66" s="192"/>
      <c r="F66" s="192"/>
      <c r="G66" s="192"/>
      <c r="H66" s="192"/>
      <c r="I66" s="192">
        <v>3</v>
      </c>
      <c r="J66" s="192"/>
      <c r="K66" s="192"/>
      <c r="L66" s="192"/>
      <c r="M66" s="192"/>
      <c r="N66" s="192"/>
      <c r="O66" s="189">
        <f>$D66/$B66/2</f>
        <v>0.125</v>
      </c>
      <c r="P66" s="189">
        <f t="shared" si="12"/>
        <v>0.25</v>
      </c>
      <c r="Q66" s="189">
        <f t="shared" si="13"/>
        <v>0.25</v>
      </c>
      <c r="R66" s="189">
        <f t="shared" si="14"/>
        <v>0.25</v>
      </c>
      <c r="S66" s="189">
        <f t="shared" si="15"/>
        <v>0.25</v>
      </c>
      <c r="T66" s="189">
        <f t="shared" si="16"/>
        <v>0.55000000000000004</v>
      </c>
      <c r="U66" s="189">
        <f t="shared" si="17"/>
        <v>0.55000000000000004</v>
      </c>
      <c r="V66" s="189">
        <f t="shared" si="18"/>
        <v>0.55000000000000004</v>
      </c>
      <c r="W66" s="189">
        <f t="shared" si="41"/>
        <v>0.55000000000000004</v>
      </c>
      <c r="X66" s="189">
        <f t="shared" si="42"/>
        <v>0.55000000000000004</v>
      </c>
      <c r="Y66" s="189">
        <f t="shared" si="43"/>
        <v>0.3</v>
      </c>
      <c r="Z66" s="193">
        <f>1.2+O66</f>
        <v>1.325</v>
      </c>
      <c r="AA66" s="194">
        <f>SUM(Uträkning!$O66:$Z66)</f>
        <v>5.5</v>
      </c>
      <c r="AB66" s="194">
        <f>SUM(Uträkning!$D66:$N66)-Uträkning!$AA66</f>
        <v>0</v>
      </c>
      <c r="AC66" s="192"/>
    </row>
    <row r="67" spans="1:29" ht="15.5" thickTop="1" thickBot="1" x14ac:dyDescent="0.4">
      <c r="A67" s="195" t="s">
        <v>149</v>
      </c>
      <c r="B67" s="196">
        <v>8</v>
      </c>
      <c r="C67" s="196" t="s">
        <v>103</v>
      </c>
      <c r="D67" s="196"/>
      <c r="E67" s="196"/>
      <c r="F67" s="196"/>
      <c r="G67" s="196"/>
      <c r="H67" s="196"/>
      <c r="I67" s="196"/>
      <c r="J67" s="196"/>
      <c r="K67" s="196"/>
      <c r="L67" s="196">
        <v>1.5</v>
      </c>
      <c r="M67" s="196"/>
      <c r="N67" s="196"/>
      <c r="O67" s="189">
        <f t="shared" si="0"/>
        <v>0</v>
      </c>
      <c r="P67" s="189">
        <f t="shared" si="12"/>
        <v>0</v>
      </c>
      <c r="Q67" s="189">
        <f t="shared" si="13"/>
        <v>0</v>
      </c>
      <c r="R67" s="189">
        <f t="shared" si="14"/>
        <v>0</v>
      </c>
      <c r="S67" s="189">
        <f t="shared" si="15"/>
        <v>0</v>
      </c>
      <c r="T67" s="189">
        <f t="shared" si="16"/>
        <v>0</v>
      </c>
      <c r="U67" s="189">
        <f t="shared" si="17"/>
        <v>0</v>
      </c>
      <c r="V67" s="189">
        <f t="shared" si="18"/>
        <v>0</v>
      </c>
      <c r="W67" s="189">
        <f t="shared" ref="W67" si="59">($E67+$F67+$G67+$H67+$I67+$J67+$K67+$L67)/$B67</f>
        <v>0.1875</v>
      </c>
      <c r="X67" s="189">
        <f t="shared" ref="X67" si="60">($F67+$G67+$H67+$I67+$J67+$K67+$L67+$M67)/$B67</f>
        <v>0.1875</v>
      </c>
      <c r="Y67" s="189">
        <f t="shared" ref="Y67" si="61">($G67+$H67+$I67+$J67+$K67+$L67+$M67+$N67)/$B67</f>
        <v>0.1875</v>
      </c>
      <c r="Z67" s="197">
        <v>0.9375</v>
      </c>
      <c r="AA67" s="198">
        <f>SUM(Uträkning!$O67:$Z67)</f>
        <v>1.5</v>
      </c>
      <c r="AB67" s="198">
        <f>SUM(Uträkning!$D67:$N67)-Uträkning!$AA67</f>
        <v>0</v>
      </c>
      <c r="AC67" s="196"/>
    </row>
    <row r="68" spans="1:29" ht="15.5" thickTop="1" thickBot="1" x14ac:dyDescent="0.4">
      <c r="A68" s="191" t="s">
        <v>149</v>
      </c>
      <c r="B68" s="192">
        <v>5</v>
      </c>
      <c r="C68" s="192" t="s">
        <v>104</v>
      </c>
      <c r="D68" s="192">
        <v>0.1</v>
      </c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89">
        <f>$D68/$B68/2</f>
        <v>0.01</v>
      </c>
      <c r="P68" s="189">
        <f t="shared" ref="P68:P69" si="62">($D68+$E68)/$B68</f>
        <v>0.02</v>
      </c>
      <c r="Q68" s="189">
        <f t="shared" ref="Q68:Q69" si="63">($D68+$E68+$F68)/$B68</f>
        <v>0.02</v>
      </c>
      <c r="R68" s="189">
        <f t="shared" ref="R68:R69" si="64">($D68+$E68+$F68+$G68)/$B68</f>
        <v>0.02</v>
      </c>
      <c r="S68" s="189">
        <f t="shared" ref="S68:S69" si="65">($D68+$E68+$F68+$G68+$H68)/$B68</f>
        <v>0.02</v>
      </c>
      <c r="T68" s="189">
        <f>($E68+$F68+$G68+$H68+$I68)/$B68+O68</f>
        <v>0.01</v>
      </c>
      <c r="U68" s="189">
        <f t="shared" ref="U68:U69" si="66">($F68+$G68+$H68+$I68+$J68)/$B68</f>
        <v>0</v>
      </c>
      <c r="V68" s="189">
        <f t="shared" ref="V68:V69" si="67">($G68+$H68+$I68+$J68+$K68)/$B68</f>
        <v>0</v>
      </c>
      <c r="W68" s="189">
        <f t="shared" ref="W68:W69" si="68">($H68+$I68+$J68+$K68+$L68)/$B68</f>
        <v>0</v>
      </c>
      <c r="X68" s="189">
        <f t="shared" ref="X68:X69" si="69">($I68+$J68+$K68+$L68+$M68)/$B68</f>
        <v>0</v>
      </c>
      <c r="Y68" s="189">
        <f t="shared" ref="Y68:Y69" si="70">($J68+$K68+$L68+$M68+$N68)/$B68</f>
        <v>0</v>
      </c>
      <c r="Z68" s="193"/>
      <c r="AA68" s="194">
        <f>SUM(Uträkning!$O68:$Z68)</f>
        <v>0.1</v>
      </c>
      <c r="AB68" s="194">
        <f>SUM(Uträkning!$D68:$N68)-Uträkning!$AA68</f>
        <v>0</v>
      </c>
      <c r="AC68" s="192"/>
    </row>
    <row r="69" spans="1:29" ht="15" thickTop="1" x14ac:dyDescent="0.35">
      <c r="A69" s="195" t="s">
        <v>149</v>
      </c>
      <c r="B69" s="196">
        <v>5</v>
      </c>
      <c r="C69" s="196" t="s">
        <v>65</v>
      </c>
      <c r="D69" s="196"/>
      <c r="E69" s="196"/>
      <c r="F69" s="196">
        <v>2</v>
      </c>
      <c r="G69" s="196">
        <v>9</v>
      </c>
      <c r="H69" s="196">
        <v>11</v>
      </c>
      <c r="I69" s="196">
        <v>17</v>
      </c>
      <c r="J69" s="196">
        <v>20</v>
      </c>
      <c r="K69" s="196">
        <v>18</v>
      </c>
      <c r="L69" s="196">
        <v>25</v>
      </c>
      <c r="M69" s="196">
        <v>20</v>
      </c>
      <c r="N69" s="196">
        <v>20</v>
      </c>
      <c r="O69" s="189">
        <f t="shared" ref="O69" si="71">$D69/$B69</f>
        <v>0</v>
      </c>
      <c r="P69" s="189">
        <f t="shared" si="62"/>
        <v>0</v>
      </c>
      <c r="Q69" s="189">
        <f t="shared" si="63"/>
        <v>0.4</v>
      </c>
      <c r="R69" s="189">
        <f t="shared" si="64"/>
        <v>2.2000000000000002</v>
      </c>
      <c r="S69" s="189">
        <f t="shared" si="65"/>
        <v>4.4000000000000004</v>
      </c>
      <c r="T69" s="189">
        <f t="shared" ref="T69" si="72">($E69+$F69+$G69+$H69+$I69)/$B69</f>
        <v>7.8</v>
      </c>
      <c r="U69" s="189">
        <f t="shared" si="66"/>
        <v>11.8</v>
      </c>
      <c r="V69" s="189">
        <f t="shared" si="67"/>
        <v>15</v>
      </c>
      <c r="W69" s="189">
        <f t="shared" si="68"/>
        <v>18.2</v>
      </c>
      <c r="X69" s="189">
        <f t="shared" si="69"/>
        <v>20</v>
      </c>
      <c r="Y69" s="189">
        <f t="shared" si="70"/>
        <v>20.6</v>
      </c>
      <c r="Z69" s="197">
        <v>41.6</v>
      </c>
      <c r="AA69" s="198">
        <f>SUM(Uträkning!$O69:$Z69)</f>
        <v>142</v>
      </c>
      <c r="AB69" s="198">
        <f>SUM(Uträkning!$D69:$N69)-Uträkning!$AA69</f>
        <v>0</v>
      </c>
      <c r="AC69" s="196"/>
    </row>
    <row r="70" spans="1:29" x14ac:dyDescent="0.35">
      <c r="A70" t="s">
        <v>142</v>
      </c>
      <c r="D70" s="219">
        <f>SUBTOTAL(109,Uträkning[2022])</f>
        <v>83.59</v>
      </c>
      <c r="E70" s="219">
        <f>SUBTOTAL(109,Uträkning[2023])</f>
        <v>68.75</v>
      </c>
      <c r="F70" s="219">
        <f>SUBTOTAL(109,Uträkning[2024])</f>
        <v>24.65</v>
      </c>
      <c r="G70" s="219">
        <f>SUBTOTAL(109,Uträkning[2025])</f>
        <v>34.799999999999997</v>
      </c>
      <c r="H70" s="219">
        <f>SUBTOTAL(109,Uträkning[2026])</f>
        <v>24.5</v>
      </c>
      <c r="I70" s="219">
        <f>SUBTOTAL(109,Uträkning[2027])</f>
        <v>25</v>
      </c>
      <c r="J70" s="219">
        <f>SUBTOTAL(109,Uträkning[2028])</f>
        <v>25</v>
      </c>
      <c r="K70" s="219">
        <f>SUBTOTAL(109,Uträkning[2029])</f>
        <v>35.200000000000003</v>
      </c>
      <c r="L70" s="219">
        <f>SUBTOTAL(109,Uträkning[2030])</f>
        <v>40.9</v>
      </c>
      <c r="M70" s="219">
        <f>SUBTOTAL(109,Uträkning[2031])</f>
        <v>69.5</v>
      </c>
      <c r="N70" s="219">
        <f>SUBTOTAL(109,Uträkning[2032])</f>
        <v>25</v>
      </c>
      <c r="O70" s="219">
        <f>SUBTOTAL(109,Uträkning[år 2022])</f>
        <v>7.6086874999999976</v>
      </c>
      <c r="P70" s="219">
        <f>SUBTOTAL(109,Uträkning[år 2023])</f>
        <v>22.124874999999992</v>
      </c>
      <c r="Q70" s="219">
        <f>SUBTOTAL(109,Uträkning[år 2024])</f>
        <v>29.242374999999988</v>
      </c>
      <c r="R70" s="219">
        <f>SUBTOTAL(109,Uträkning[år 2025])</f>
        <v>34.392375000000001</v>
      </c>
      <c r="S70" s="219">
        <f>SUBTOTAL(109,Uträkning[år 2026])</f>
        <v>38.654874999999997</v>
      </c>
      <c r="T70" s="219">
        <f>SUBTOTAL(109,Uträkning[år 2027])</f>
        <v>36.913375000000009</v>
      </c>
      <c r="U70" s="219">
        <f>SUBTOTAL(109,Uträkning[år 2028])</f>
        <v>34.131875000000008</v>
      </c>
      <c r="V70" s="219">
        <f>SUBTOTAL(109,Uträkning[år 2029])</f>
        <v>35.576875000000001</v>
      </c>
      <c r="W70" s="219">
        <f>SUBTOTAL(109,Uträkning[år 2030])</f>
        <v>37.534687500000004</v>
      </c>
      <c r="X70" s="219">
        <f>SUBTOTAL(109,Uträkning[år 2031])</f>
        <v>39.355000000000004</v>
      </c>
      <c r="Y70" s="219">
        <f>SUBTOTAL(109,Uträkning[år 2032])</f>
        <v>37.517499999999998</v>
      </c>
      <c r="Z70" s="219">
        <f>SUBTOTAL(109,Uträkning[&gt;10 år])</f>
        <v>103.83750000000001</v>
      </c>
      <c r="AA70" s="219">
        <f>SUBTOTAL(109,Uträkning[Summa])</f>
        <v>456.89000000000004</v>
      </c>
      <c r="AB70" s="180">
        <f>SUBTOTAL(109,Uträkning[Diff])</f>
        <v>0</v>
      </c>
      <c r="AC70">
        <f>SUBTOTAL(103,Uträkning[Kommentar])</f>
        <v>1</v>
      </c>
    </row>
  </sheetData>
  <mergeCells count="1">
    <mergeCell ref="O2:Y2"/>
  </mergeCells>
  <phoneticPr fontId="37" type="noConversion"/>
  <conditionalFormatting sqref="AB4:AB69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8" orientation="landscape" r:id="rId1"/>
  <ignoredErrors>
    <ignoredError sqref="O4:Y32 O33:Y69" emptyCellReference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E9F5BB73-26C7-4A65-B80C-C82E5C121CFF}">
          <x14:formula1>
            <xm:f>Lista!$A$2:$A$3</xm:f>
          </x14:formula1>
          <xm:sqref>A4:A69</xm:sqref>
        </x14:dataValidation>
        <x14:dataValidation type="list" allowBlank="1" showInputMessage="1" showErrorMessage="1" xr:uid="{B9CC2AB6-1200-4C0B-A29F-5B0E21025B9E}">
          <x14:formula1>
            <xm:f>Lista!$B$2:$B$7</xm:f>
          </x14:formula1>
          <xm:sqref>B4:B69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67CE-E38C-45E5-A5A8-2ED6EB3D6856}">
  <dimension ref="A1:B12"/>
  <sheetViews>
    <sheetView workbookViewId="0">
      <selection activeCell="H4" sqref="H4"/>
    </sheetView>
  </sheetViews>
  <sheetFormatPr defaultRowHeight="14.5" x14ac:dyDescent="0.35"/>
  <cols>
    <col min="2" max="2" width="11.7265625" bestFit="1" customWidth="1"/>
  </cols>
  <sheetData>
    <row r="1" spans="1:2" x14ac:dyDescent="0.35">
      <c r="A1" t="s">
        <v>150</v>
      </c>
      <c r="B1" t="s">
        <v>151</v>
      </c>
    </row>
    <row r="2" spans="1:2" x14ac:dyDescent="0.35">
      <c r="A2">
        <v>2022</v>
      </c>
      <c r="B2" s="216">
        <f>-'2022'!$J$871/1000000</f>
        <v>16.8470926</v>
      </c>
    </row>
    <row r="3" spans="1:2" x14ac:dyDescent="0.35">
      <c r="A3">
        <v>2023</v>
      </c>
      <c r="B3" s="216">
        <f>-'2023'!$J$871/1000000</f>
        <v>12.953362480000001</v>
      </c>
    </row>
    <row r="4" spans="1:2" x14ac:dyDescent="0.35">
      <c r="A4">
        <v>2024</v>
      </c>
      <c r="B4" s="216">
        <f>-'2024'!$J$871/1000000</f>
        <v>9.0321883500000002</v>
      </c>
    </row>
    <row r="5" spans="1:2" x14ac:dyDescent="0.35">
      <c r="A5">
        <v>2025</v>
      </c>
      <c r="B5" s="216">
        <f>-'2025'!$J$871/1000000</f>
        <v>7.4413338499999995</v>
      </c>
    </row>
    <row r="6" spans="1:2" x14ac:dyDescent="0.35">
      <c r="A6">
        <v>2026</v>
      </c>
      <c r="B6" s="216">
        <f>-'2026'!$J$871/1000000</f>
        <v>6.0636441300000001</v>
      </c>
    </row>
    <row r="7" spans="1:2" x14ac:dyDescent="0.35">
      <c r="A7">
        <v>2027</v>
      </c>
      <c r="B7" s="216">
        <f>-'2027'!$J$871/1000000</f>
        <v>5.4240036700000003</v>
      </c>
    </row>
    <row r="8" spans="1:2" x14ac:dyDescent="0.35">
      <c r="A8">
        <v>2028</v>
      </c>
      <c r="B8" s="216">
        <f>-'2028'!$J$871/1000000</f>
        <v>5.1463432000000005</v>
      </c>
    </row>
    <row r="9" spans="1:2" x14ac:dyDescent="0.35">
      <c r="A9">
        <v>2029</v>
      </c>
      <c r="B9" s="216">
        <f>-'2029'!$J$871/1000000</f>
        <v>4.1551327599999999</v>
      </c>
    </row>
    <row r="10" spans="1:2" x14ac:dyDescent="0.35">
      <c r="A10">
        <v>2030</v>
      </c>
      <c r="B10" s="216">
        <f>-'2030'!$J$871/1000000</f>
        <v>2.8242052100000001</v>
      </c>
    </row>
    <row r="11" spans="1:2" x14ac:dyDescent="0.35">
      <c r="A11">
        <v>2031</v>
      </c>
      <c r="B11" s="216">
        <f>-'2031'!$J$871/1000000</f>
        <v>2.3043634500000003</v>
      </c>
    </row>
    <row r="12" spans="1:2" x14ac:dyDescent="0.35">
      <c r="A12">
        <v>2032</v>
      </c>
      <c r="B12" s="216">
        <f>-'2032'!$J$871/1000000</f>
        <v>1.99780972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35230-369D-48BA-A0C0-29EFB63B70DA}">
  <sheetPr>
    <pageSetUpPr fitToPage="1"/>
  </sheetPr>
  <dimension ref="A1:O872"/>
  <sheetViews>
    <sheetView showGridLines="0" workbookViewId="0">
      <pane ySplit="15" topLeftCell="A845" activePane="bottomLeft" state="frozen"/>
      <selection pane="bottomLeft" activeCell="J871" sqref="J871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1" width="11.81640625" style="199" customWidth="1"/>
    <col min="12" max="12" width="13.7265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157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161</v>
      </c>
      <c r="D14" s="212" t="s">
        <v>162</v>
      </c>
      <c r="E14" s="212" t="s">
        <v>163</v>
      </c>
      <c r="F14" s="212" t="s">
        <v>164</v>
      </c>
      <c r="G14" s="251" t="s">
        <v>165</v>
      </c>
      <c r="H14" s="239"/>
      <c r="I14" s="239"/>
      <c r="J14" s="213" t="s">
        <v>166</v>
      </c>
      <c r="K14" s="212" t="s">
        <v>167</v>
      </c>
      <c r="L14" s="212" t="s">
        <v>168</v>
      </c>
      <c r="M14" s="212" t="s">
        <v>169</v>
      </c>
      <c r="N14" s="251" t="s">
        <v>170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-1545746.11</v>
      </c>
      <c r="H18" s="239"/>
      <c r="I18" s="239"/>
      <c r="J18" s="210">
        <v>-76334</v>
      </c>
      <c r="K18" s="209">
        <v>0</v>
      </c>
      <c r="L18" s="209">
        <v>-1622080.11</v>
      </c>
      <c r="M18" s="209">
        <v>744253.89</v>
      </c>
      <c r="N18" s="242">
        <v>667919.89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-789655.39</v>
      </c>
      <c r="H19" s="239"/>
      <c r="I19" s="239"/>
      <c r="J19" s="210">
        <v>-46448</v>
      </c>
      <c r="K19" s="209">
        <v>0</v>
      </c>
      <c r="L19" s="209">
        <v>-836103.39</v>
      </c>
      <c r="M19" s="209">
        <v>139344.60999999999</v>
      </c>
      <c r="N19" s="242">
        <v>92896.61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-195493.89</v>
      </c>
      <c r="H20" s="239"/>
      <c r="I20" s="239"/>
      <c r="J20" s="210">
        <v>-11502</v>
      </c>
      <c r="K20" s="209">
        <v>0</v>
      </c>
      <c r="L20" s="209">
        <v>-206995.89</v>
      </c>
      <c r="M20" s="209">
        <v>34506.11</v>
      </c>
      <c r="N20" s="242">
        <v>23004.11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-823650.5</v>
      </c>
      <c r="H21" s="239"/>
      <c r="I21" s="239"/>
      <c r="J21" s="210">
        <v>-48450</v>
      </c>
      <c r="K21" s="209">
        <v>0</v>
      </c>
      <c r="L21" s="209">
        <v>-872100.5</v>
      </c>
      <c r="M21" s="209">
        <v>145349.5</v>
      </c>
      <c r="N21" s="242">
        <v>96899.5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-3354545.89</v>
      </c>
      <c r="H22" s="244"/>
      <c r="I22" s="244"/>
      <c r="J22" s="208">
        <v>-182734</v>
      </c>
      <c r="K22" s="207">
        <v>0</v>
      </c>
      <c r="L22" s="207">
        <v>-3537279.89</v>
      </c>
      <c r="M22" s="207">
        <v>1063454.1100000001</v>
      </c>
      <c r="N22" s="245">
        <v>880720.11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-1471754.43</v>
      </c>
      <c r="H34" s="239"/>
      <c r="I34" s="239"/>
      <c r="J34" s="210">
        <v>-210245.57</v>
      </c>
      <c r="K34" s="209">
        <v>0</v>
      </c>
      <c r="L34" s="209">
        <v>-1682000</v>
      </c>
      <c r="M34" s="209">
        <v>210245.57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-1471754.43</v>
      </c>
      <c r="H35" s="239"/>
      <c r="I35" s="239"/>
      <c r="J35" s="210">
        <v>-210245.57</v>
      </c>
      <c r="K35" s="209">
        <v>0</v>
      </c>
      <c r="L35" s="209">
        <v>-1682000</v>
      </c>
      <c r="M35" s="209">
        <v>210245.57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-5231650.5</v>
      </c>
      <c r="H36" s="239"/>
      <c r="I36" s="239"/>
      <c r="J36" s="210">
        <v>-826050</v>
      </c>
      <c r="K36" s="209">
        <v>0</v>
      </c>
      <c r="L36" s="209">
        <v>-6057700.5</v>
      </c>
      <c r="M36" s="209">
        <v>1376749.5</v>
      </c>
      <c r="N36" s="242">
        <v>550699.5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-6097332.6299999999</v>
      </c>
      <c r="H37" s="239"/>
      <c r="I37" s="239"/>
      <c r="J37" s="210">
        <v>-892290</v>
      </c>
      <c r="K37" s="209">
        <v>0</v>
      </c>
      <c r="L37" s="209">
        <v>-6989622.6299999999</v>
      </c>
      <c r="M37" s="209">
        <v>1041005.37</v>
      </c>
      <c r="N37" s="242">
        <v>148715.37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-1350641.68</v>
      </c>
      <c r="H38" s="239"/>
      <c r="I38" s="239"/>
      <c r="J38" s="210">
        <v>-216102</v>
      </c>
      <c r="K38" s="209">
        <v>0</v>
      </c>
      <c r="L38" s="209">
        <v>-1566743.68</v>
      </c>
      <c r="M38" s="209">
        <v>378178.32</v>
      </c>
      <c r="N38" s="242">
        <v>162076.32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-1350641.68</v>
      </c>
      <c r="H39" s="239"/>
      <c r="I39" s="239"/>
      <c r="J39" s="210">
        <v>-216102</v>
      </c>
      <c r="K39" s="209">
        <v>0</v>
      </c>
      <c r="L39" s="209">
        <v>-1566743.68</v>
      </c>
      <c r="M39" s="209">
        <v>378178.32</v>
      </c>
      <c r="N39" s="242">
        <v>162076.32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-1350641.68</v>
      </c>
      <c r="H40" s="239"/>
      <c r="I40" s="239"/>
      <c r="J40" s="210">
        <v>-216102</v>
      </c>
      <c r="K40" s="209">
        <v>0</v>
      </c>
      <c r="L40" s="209">
        <v>-1566743.68</v>
      </c>
      <c r="M40" s="209">
        <v>378178.32</v>
      </c>
      <c r="N40" s="242">
        <v>162076.32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-492131.85</v>
      </c>
      <c r="H42" s="239"/>
      <c r="I42" s="239"/>
      <c r="J42" s="210">
        <v>-98730</v>
      </c>
      <c r="K42" s="209">
        <v>0</v>
      </c>
      <c r="L42" s="209">
        <v>-590861.85</v>
      </c>
      <c r="M42" s="209">
        <v>493650.46</v>
      </c>
      <c r="N42" s="242">
        <v>394920.46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-174421.25</v>
      </c>
      <c r="H43" s="239"/>
      <c r="I43" s="239"/>
      <c r="J43" s="210">
        <v>-30782.74</v>
      </c>
      <c r="K43" s="209">
        <v>0</v>
      </c>
      <c r="L43" s="209">
        <v>-205203.99</v>
      </c>
      <c r="M43" s="209">
        <v>30782.74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-816148.64</v>
      </c>
      <c r="H44" s="239"/>
      <c r="I44" s="239"/>
      <c r="J44" s="210">
        <v>-195874</v>
      </c>
      <c r="K44" s="209">
        <v>0</v>
      </c>
      <c r="L44" s="209">
        <v>-1012022.64</v>
      </c>
      <c r="M44" s="209">
        <v>750851.36</v>
      </c>
      <c r="N44" s="242">
        <v>554977.36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-657584.86</v>
      </c>
      <c r="H45" s="239"/>
      <c r="I45" s="239"/>
      <c r="J45" s="210">
        <v>-158286</v>
      </c>
      <c r="K45" s="209">
        <v>0</v>
      </c>
      <c r="L45" s="209">
        <v>-815870.86</v>
      </c>
      <c r="M45" s="209">
        <v>606763.07999999996</v>
      </c>
      <c r="N45" s="242">
        <v>448477.08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-416921.32</v>
      </c>
      <c r="H46" s="239"/>
      <c r="I46" s="239"/>
      <c r="J46" s="210">
        <v>-83384.679999999993</v>
      </c>
      <c r="K46" s="209">
        <v>0</v>
      </c>
      <c r="L46" s="209">
        <v>-500306</v>
      </c>
      <c r="M46" s="209">
        <v>83384.679999999993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-799825.72</v>
      </c>
      <c r="H47" s="239"/>
      <c r="I47" s="239"/>
      <c r="J47" s="210">
        <v>-195874</v>
      </c>
      <c r="K47" s="209">
        <v>0</v>
      </c>
      <c r="L47" s="209">
        <v>-995699.72</v>
      </c>
      <c r="M47" s="209">
        <v>767174.28</v>
      </c>
      <c r="N47" s="242">
        <v>571300.28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-564335.14</v>
      </c>
      <c r="H48" s="239"/>
      <c r="I48" s="239"/>
      <c r="J48" s="210">
        <v>-101394</v>
      </c>
      <c r="K48" s="209">
        <v>0</v>
      </c>
      <c r="L48" s="209">
        <v>-665729.14</v>
      </c>
      <c r="M48" s="209">
        <v>185888.86</v>
      </c>
      <c r="N48" s="242">
        <v>84494.86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-460265.06</v>
      </c>
      <c r="H49" s="239"/>
      <c r="I49" s="239"/>
      <c r="J49" s="210">
        <v>-68502</v>
      </c>
      <c r="K49" s="209">
        <v>0</v>
      </c>
      <c r="L49" s="209">
        <v>-528767.06000000006</v>
      </c>
      <c r="M49" s="209">
        <v>194088.94</v>
      </c>
      <c r="N49" s="242">
        <v>125586.94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-460265.06</v>
      </c>
      <c r="H51" s="239"/>
      <c r="I51" s="239"/>
      <c r="J51" s="210">
        <v>-68502</v>
      </c>
      <c r="K51" s="209">
        <v>0</v>
      </c>
      <c r="L51" s="209">
        <v>-528767.06000000006</v>
      </c>
      <c r="M51" s="209">
        <v>194088.94</v>
      </c>
      <c r="N51" s="242">
        <v>125586.94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-460265.06</v>
      </c>
      <c r="H52" s="239"/>
      <c r="I52" s="239"/>
      <c r="J52" s="210">
        <v>-68502</v>
      </c>
      <c r="K52" s="209">
        <v>0</v>
      </c>
      <c r="L52" s="209">
        <v>-528767.06000000006</v>
      </c>
      <c r="M52" s="209">
        <v>194088.94</v>
      </c>
      <c r="N52" s="242">
        <v>125586.94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-503629.83</v>
      </c>
      <c r="H53" s="239"/>
      <c r="I53" s="239"/>
      <c r="J53" s="210">
        <v>-82213</v>
      </c>
      <c r="K53" s="209">
        <v>0</v>
      </c>
      <c r="L53" s="209">
        <v>-585842.82999999996</v>
      </c>
      <c r="M53" s="209">
        <v>150724.17000000001</v>
      </c>
      <c r="N53" s="242">
        <v>68511.17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-503629.83</v>
      </c>
      <c r="H54" s="239"/>
      <c r="I54" s="239"/>
      <c r="J54" s="210">
        <v>-82213</v>
      </c>
      <c r="K54" s="209">
        <v>0</v>
      </c>
      <c r="L54" s="209">
        <v>-585842.82999999996</v>
      </c>
      <c r="M54" s="209">
        <v>150724.17000000001</v>
      </c>
      <c r="N54" s="242">
        <v>68511.17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-568704.44999999995</v>
      </c>
      <c r="H56" s="239"/>
      <c r="I56" s="239"/>
      <c r="J56" s="210">
        <v>-85649.55</v>
      </c>
      <c r="K56" s="209">
        <v>0</v>
      </c>
      <c r="L56" s="209">
        <v>-654354</v>
      </c>
      <c r="M56" s="209">
        <v>85649.55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-503628.93</v>
      </c>
      <c r="H59" s="239"/>
      <c r="I59" s="239"/>
      <c r="J59" s="210">
        <v>-82214</v>
      </c>
      <c r="K59" s="209">
        <v>0</v>
      </c>
      <c r="L59" s="209">
        <v>-585842.93000000005</v>
      </c>
      <c r="M59" s="209">
        <v>150725.07</v>
      </c>
      <c r="N59" s="242">
        <v>68511.070000000007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-568703.55000000005</v>
      </c>
      <c r="H60" s="239"/>
      <c r="I60" s="239"/>
      <c r="J60" s="210">
        <v>-85650.45</v>
      </c>
      <c r="K60" s="209">
        <v>0</v>
      </c>
      <c r="L60" s="209">
        <v>-654354</v>
      </c>
      <c r="M60" s="209">
        <v>85650.45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-568703.55000000005</v>
      </c>
      <c r="H61" s="239"/>
      <c r="I61" s="239"/>
      <c r="J61" s="210">
        <v>-85650.45</v>
      </c>
      <c r="K61" s="209">
        <v>0</v>
      </c>
      <c r="L61" s="209">
        <v>-654354</v>
      </c>
      <c r="M61" s="209">
        <v>85650.45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-460265.13</v>
      </c>
      <c r="H62" s="239"/>
      <c r="I62" s="239"/>
      <c r="J62" s="210">
        <v>-68502</v>
      </c>
      <c r="K62" s="209">
        <v>0</v>
      </c>
      <c r="L62" s="209">
        <v>-528767.13</v>
      </c>
      <c r="M62" s="209">
        <v>194088.87</v>
      </c>
      <c r="N62" s="242">
        <v>125586.87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-460265.13</v>
      </c>
      <c r="H63" s="239"/>
      <c r="I63" s="239"/>
      <c r="J63" s="210">
        <v>-68502</v>
      </c>
      <c r="K63" s="209">
        <v>0</v>
      </c>
      <c r="L63" s="209">
        <v>-528767.13</v>
      </c>
      <c r="M63" s="209">
        <v>194088.87</v>
      </c>
      <c r="N63" s="242">
        <v>125586.87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-503628.93</v>
      </c>
      <c r="H64" s="239"/>
      <c r="I64" s="239"/>
      <c r="J64" s="210">
        <v>-82214</v>
      </c>
      <c r="K64" s="209">
        <v>0</v>
      </c>
      <c r="L64" s="209">
        <v>-585842.93000000005</v>
      </c>
      <c r="M64" s="209">
        <v>150725.07</v>
      </c>
      <c r="N64" s="242">
        <v>68511.070000000007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-503628.93</v>
      </c>
      <c r="H65" s="239"/>
      <c r="I65" s="239"/>
      <c r="J65" s="210">
        <v>-82214</v>
      </c>
      <c r="K65" s="209">
        <v>0</v>
      </c>
      <c r="L65" s="209">
        <v>-585842.93000000005</v>
      </c>
      <c r="M65" s="209">
        <v>150725.07</v>
      </c>
      <c r="N65" s="242">
        <v>68511.070000000007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-503628.93</v>
      </c>
      <c r="H66" s="239"/>
      <c r="I66" s="239"/>
      <c r="J66" s="210">
        <v>-82214</v>
      </c>
      <c r="K66" s="209">
        <v>0</v>
      </c>
      <c r="L66" s="209">
        <v>-585842.93000000005</v>
      </c>
      <c r="M66" s="209">
        <v>150725.07</v>
      </c>
      <c r="N66" s="242">
        <v>68511.070000000007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-503628.83</v>
      </c>
      <c r="H68" s="239"/>
      <c r="I68" s="239"/>
      <c r="J68" s="210">
        <v>-82213</v>
      </c>
      <c r="K68" s="209">
        <v>0</v>
      </c>
      <c r="L68" s="209">
        <v>-585841.82999999996</v>
      </c>
      <c r="M68" s="209">
        <v>150724.17000000001</v>
      </c>
      <c r="N68" s="242">
        <v>68511.17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-568703.44999999995</v>
      </c>
      <c r="H69" s="239"/>
      <c r="I69" s="239"/>
      <c r="J69" s="210">
        <v>-85649.55</v>
      </c>
      <c r="K69" s="209">
        <v>0</v>
      </c>
      <c r="L69" s="209">
        <v>-654353</v>
      </c>
      <c r="M69" s="209">
        <v>85649.55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-568703.44999999995</v>
      </c>
      <c r="H70" s="239"/>
      <c r="I70" s="239"/>
      <c r="J70" s="210">
        <v>-85649.55</v>
      </c>
      <c r="K70" s="209">
        <v>0</v>
      </c>
      <c r="L70" s="209">
        <v>-654353</v>
      </c>
      <c r="M70" s="209">
        <v>85649.55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-568703.44999999995</v>
      </c>
      <c r="H71" s="239"/>
      <c r="I71" s="239"/>
      <c r="J71" s="210">
        <v>-85649.55</v>
      </c>
      <c r="K71" s="209">
        <v>0</v>
      </c>
      <c r="L71" s="209">
        <v>-654353</v>
      </c>
      <c r="M71" s="209">
        <v>85649.55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-568703.44999999995</v>
      </c>
      <c r="H72" s="239"/>
      <c r="I72" s="239"/>
      <c r="J72" s="210">
        <v>-85649.55</v>
      </c>
      <c r="K72" s="209">
        <v>0</v>
      </c>
      <c r="L72" s="209">
        <v>-654353</v>
      </c>
      <c r="M72" s="209">
        <v>85649.55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-503628.83</v>
      </c>
      <c r="H73" s="239"/>
      <c r="I73" s="239"/>
      <c r="J73" s="210">
        <v>-82213</v>
      </c>
      <c r="K73" s="209">
        <v>0</v>
      </c>
      <c r="L73" s="209">
        <v>-585841.82999999996</v>
      </c>
      <c r="M73" s="209">
        <v>150724.17000000001</v>
      </c>
      <c r="N73" s="242">
        <v>68511.17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-460264.06</v>
      </c>
      <c r="H75" s="239"/>
      <c r="I75" s="239"/>
      <c r="J75" s="210">
        <v>-68502</v>
      </c>
      <c r="K75" s="209">
        <v>0</v>
      </c>
      <c r="L75" s="209">
        <v>-528766.06000000006</v>
      </c>
      <c r="M75" s="209">
        <v>194088.94</v>
      </c>
      <c r="N75" s="242">
        <v>125586.94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-503628.83</v>
      </c>
      <c r="H76" s="239"/>
      <c r="I76" s="239"/>
      <c r="J76" s="210">
        <v>-82213</v>
      </c>
      <c r="K76" s="209">
        <v>0</v>
      </c>
      <c r="L76" s="209">
        <v>-585841.82999999996</v>
      </c>
      <c r="M76" s="209">
        <v>150724.17000000001</v>
      </c>
      <c r="N76" s="242">
        <v>68511.17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-568703.44999999995</v>
      </c>
      <c r="H77" s="239"/>
      <c r="I77" s="239"/>
      <c r="J77" s="210">
        <v>-85649.55</v>
      </c>
      <c r="K77" s="209">
        <v>0</v>
      </c>
      <c r="L77" s="209">
        <v>-654353</v>
      </c>
      <c r="M77" s="209">
        <v>85649.55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-503628.83</v>
      </c>
      <c r="H78" s="239"/>
      <c r="I78" s="239"/>
      <c r="J78" s="210">
        <v>-82213</v>
      </c>
      <c r="K78" s="209">
        <v>0</v>
      </c>
      <c r="L78" s="209">
        <v>-585841.82999999996</v>
      </c>
      <c r="M78" s="209">
        <v>150724.17000000001</v>
      </c>
      <c r="N78" s="242">
        <v>68511.17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-460264.06</v>
      </c>
      <c r="H79" s="239"/>
      <c r="I79" s="239"/>
      <c r="J79" s="210">
        <v>-68502</v>
      </c>
      <c r="K79" s="209">
        <v>0</v>
      </c>
      <c r="L79" s="209">
        <v>-528766.06000000006</v>
      </c>
      <c r="M79" s="209">
        <v>194088.94</v>
      </c>
      <c r="N79" s="242">
        <v>125586.94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-503628.83</v>
      </c>
      <c r="H80" s="239"/>
      <c r="I80" s="239"/>
      <c r="J80" s="210">
        <v>-82213</v>
      </c>
      <c r="K80" s="209">
        <v>0</v>
      </c>
      <c r="L80" s="209">
        <v>-585841.82999999996</v>
      </c>
      <c r="M80" s="209">
        <v>150724.17000000001</v>
      </c>
      <c r="N80" s="242">
        <v>68511.17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-460264.06</v>
      </c>
      <c r="H82" s="239"/>
      <c r="I82" s="239"/>
      <c r="J82" s="210">
        <v>-68502</v>
      </c>
      <c r="K82" s="209">
        <v>0</v>
      </c>
      <c r="L82" s="209">
        <v>-528766.06000000006</v>
      </c>
      <c r="M82" s="209">
        <v>194088.94</v>
      </c>
      <c r="N82" s="242">
        <v>125586.94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-460264.06</v>
      </c>
      <c r="H83" s="239"/>
      <c r="I83" s="239"/>
      <c r="J83" s="210">
        <v>-68502</v>
      </c>
      <c r="K83" s="209">
        <v>0</v>
      </c>
      <c r="L83" s="209">
        <v>-528766.06000000006</v>
      </c>
      <c r="M83" s="209">
        <v>194088.94</v>
      </c>
      <c r="N83" s="242">
        <v>125586.94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-503628.83</v>
      </c>
      <c r="H85" s="239"/>
      <c r="I85" s="239"/>
      <c r="J85" s="210">
        <v>-82213</v>
      </c>
      <c r="K85" s="209">
        <v>0</v>
      </c>
      <c r="L85" s="209">
        <v>-585841.82999999996</v>
      </c>
      <c r="M85" s="209">
        <v>150724.17000000001</v>
      </c>
      <c r="N85" s="242">
        <v>68511.17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-503628.83</v>
      </c>
      <c r="H87" s="239"/>
      <c r="I87" s="239"/>
      <c r="J87" s="210">
        <v>-82213</v>
      </c>
      <c r="K87" s="209">
        <v>0</v>
      </c>
      <c r="L87" s="209">
        <v>-585841.82999999996</v>
      </c>
      <c r="M87" s="209">
        <v>150724.17000000001</v>
      </c>
      <c r="N87" s="242">
        <v>68511.17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-460264.06</v>
      </c>
      <c r="H91" s="239"/>
      <c r="I91" s="239"/>
      <c r="J91" s="210">
        <v>-68502</v>
      </c>
      <c r="K91" s="209">
        <v>0</v>
      </c>
      <c r="L91" s="209">
        <v>-528766.06000000006</v>
      </c>
      <c r="M91" s="209">
        <v>194088.94</v>
      </c>
      <c r="N91" s="242">
        <v>125586.94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-503628.83</v>
      </c>
      <c r="H92" s="239"/>
      <c r="I92" s="239"/>
      <c r="J92" s="210">
        <v>-82213</v>
      </c>
      <c r="K92" s="209">
        <v>0</v>
      </c>
      <c r="L92" s="209">
        <v>-585841.82999999996</v>
      </c>
      <c r="M92" s="209">
        <v>150724.17000000001</v>
      </c>
      <c r="N92" s="242">
        <v>68511.17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-568703.44999999995</v>
      </c>
      <c r="H94" s="239"/>
      <c r="I94" s="239"/>
      <c r="J94" s="210">
        <v>-85649.55</v>
      </c>
      <c r="K94" s="209">
        <v>0</v>
      </c>
      <c r="L94" s="209">
        <v>-654353</v>
      </c>
      <c r="M94" s="209">
        <v>85649.55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-568703.44999999995</v>
      </c>
      <c r="H95" s="239"/>
      <c r="I95" s="239"/>
      <c r="J95" s="210">
        <v>-85649.55</v>
      </c>
      <c r="K95" s="209">
        <v>0</v>
      </c>
      <c r="L95" s="209">
        <v>-654353</v>
      </c>
      <c r="M95" s="209">
        <v>85649.55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-460264.06</v>
      </c>
      <c r="H96" s="239"/>
      <c r="I96" s="239"/>
      <c r="J96" s="210">
        <v>-68502</v>
      </c>
      <c r="K96" s="209">
        <v>0</v>
      </c>
      <c r="L96" s="209">
        <v>-528766.06000000006</v>
      </c>
      <c r="M96" s="209">
        <v>194088.94</v>
      </c>
      <c r="N96" s="242">
        <v>125586.94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-460264.06</v>
      </c>
      <c r="H97" s="239"/>
      <c r="I97" s="239"/>
      <c r="J97" s="210">
        <v>-68502</v>
      </c>
      <c r="K97" s="209">
        <v>0</v>
      </c>
      <c r="L97" s="209">
        <v>-528766.06000000006</v>
      </c>
      <c r="M97" s="209">
        <v>194088.94</v>
      </c>
      <c r="N97" s="242">
        <v>125586.94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-568703.44999999995</v>
      </c>
      <c r="H98" s="239"/>
      <c r="I98" s="239"/>
      <c r="J98" s="210">
        <v>-85649.55</v>
      </c>
      <c r="K98" s="209">
        <v>0</v>
      </c>
      <c r="L98" s="209">
        <v>-654353</v>
      </c>
      <c r="M98" s="209">
        <v>85649.55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-503628.83</v>
      </c>
      <c r="H99" s="239"/>
      <c r="I99" s="239"/>
      <c r="J99" s="210">
        <v>-82213</v>
      </c>
      <c r="K99" s="209">
        <v>0</v>
      </c>
      <c r="L99" s="209">
        <v>-585841.82999999996</v>
      </c>
      <c r="M99" s="209">
        <v>150724.17000000001</v>
      </c>
      <c r="N99" s="242">
        <v>68511.17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-568703.44999999995</v>
      </c>
      <c r="H100" s="239"/>
      <c r="I100" s="239"/>
      <c r="J100" s="210">
        <v>-85649.55</v>
      </c>
      <c r="K100" s="209">
        <v>0</v>
      </c>
      <c r="L100" s="209">
        <v>-654353</v>
      </c>
      <c r="M100" s="209">
        <v>85649.55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-460264.06</v>
      </c>
      <c r="H102" s="239"/>
      <c r="I102" s="239"/>
      <c r="J102" s="210">
        <v>-68502</v>
      </c>
      <c r="K102" s="209">
        <v>0</v>
      </c>
      <c r="L102" s="209">
        <v>-528766.06000000006</v>
      </c>
      <c r="M102" s="209">
        <v>194088.94</v>
      </c>
      <c r="N102" s="242">
        <v>125586.94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-460264.06</v>
      </c>
      <c r="H103" s="239"/>
      <c r="I103" s="239"/>
      <c r="J103" s="210">
        <v>-68502</v>
      </c>
      <c r="K103" s="209">
        <v>0</v>
      </c>
      <c r="L103" s="209">
        <v>-528766.06000000006</v>
      </c>
      <c r="M103" s="209">
        <v>194088.94</v>
      </c>
      <c r="N103" s="242">
        <v>125586.94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-568703.44999999995</v>
      </c>
      <c r="H104" s="239"/>
      <c r="I104" s="239"/>
      <c r="J104" s="210">
        <v>-85649.55</v>
      </c>
      <c r="K104" s="209">
        <v>0</v>
      </c>
      <c r="L104" s="209">
        <v>-654353</v>
      </c>
      <c r="M104" s="209">
        <v>85649.55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-568703.44999999995</v>
      </c>
      <c r="H105" s="239"/>
      <c r="I105" s="239"/>
      <c r="J105" s="210">
        <v>-85649.55</v>
      </c>
      <c r="K105" s="209">
        <v>0</v>
      </c>
      <c r="L105" s="209">
        <v>-654353</v>
      </c>
      <c r="M105" s="209">
        <v>85649.55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-962502.08</v>
      </c>
      <c r="H285" s="239"/>
      <c r="I285" s="239"/>
      <c r="J285" s="210">
        <v>-109998</v>
      </c>
      <c r="K285" s="209">
        <v>0</v>
      </c>
      <c r="L285" s="209">
        <v>-1072500.08</v>
      </c>
      <c r="M285" s="209">
        <v>137497.92000000001</v>
      </c>
      <c r="N285" s="242">
        <v>27499.919999999998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-962502.08</v>
      </c>
      <c r="H286" s="239"/>
      <c r="I286" s="239"/>
      <c r="J286" s="210">
        <v>-109998</v>
      </c>
      <c r="K286" s="209">
        <v>0</v>
      </c>
      <c r="L286" s="209">
        <v>-1072500.08</v>
      </c>
      <c r="M286" s="209">
        <v>137497.92000000001</v>
      </c>
      <c r="N286" s="242">
        <v>27499.919999999998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-95775237.849999994</v>
      </c>
      <c r="H290" s="244"/>
      <c r="I290" s="244"/>
      <c r="J290" s="208">
        <v>-7262781.0599999996</v>
      </c>
      <c r="K290" s="207">
        <v>0</v>
      </c>
      <c r="L290" s="207">
        <v>-103038018.91</v>
      </c>
      <c r="M290" s="207">
        <v>13343484.9</v>
      </c>
      <c r="N290" s="245">
        <v>6080703.8399999999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-153514.72</v>
      </c>
      <c r="H294" s="239"/>
      <c r="I294" s="239"/>
      <c r="J294" s="210">
        <v>-19191</v>
      </c>
      <c r="K294" s="209">
        <v>0</v>
      </c>
      <c r="L294" s="209">
        <v>-172705.72</v>
      </c>
      <c r="M294" s="209">
        <v>230286.28</v>
      </c>
      <c r="N294" s="242">
        <v>211095.28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-2536472.94</v>
      </c>
      <c r="H295" s="239"/>
      <c r="I295" s="239"/>
      <c r="J295" s="210">
        <v>-317164</v>
      </c>
      <c r="K295" s="209">
        <v>0</v>
      </c>
      <c r="L295" s="209">
        <v>-2853636.94</v>
      </c>
      <c r="M295" s="209">
        <v>3805959.06</v>
      </c>
      <c r="N295" s="242">
        <v>3488795.06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-1451076.58</v>
      </c>
      <c r="H296" s="239"/>
      <c r="I296" s="239"/>
      <c r="J296" s="210">
        <v>-181452</v>
      </c>
      <c r="K296" s="209">
        <v>0</v>
      </c>
      <c r="L296" s="209">
        <v>-1632528.58</v>
      </c>
      <c r="M296" s="209">
        <v>1270166.42</v>
      </c>
      <c r="N296" s="242">
        <v>1088714.42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-2303036.5499999998</v>
      </c>
      <c r="H297" s="239"/>
      <c r="I297" s="239"/>
      <c r="J297" s="210">
        <v>-287886</v>
      </c>
      <c r="K297" s="209">
        <v>0</v>
      </c>
      <c r="L297" s="209">
        <v>-2590922.5499999998</v>
      </c>
      <c r="M297" s="209">
        <v>2015202.25</v>
      </c>
      <c r="N297" s="242">
        <v>1727316.25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-1657486.89</v>
      </c>
      <c r="H298" s="239"/>
      <c r="I298" s="239"/>
      <c r="J298" s="210">
        <v>-207201</v>
      </c>
      <c r="K298" s="209">
        <v>0</v>
      </c>
      <c r="L298" s="209">
        <v>-1864687.89</v>
      </c>
      <c r="M298" s="209">
        <v>2486411.71</v>
      </c>
      <c r="N298" s="242">
        <v>2279210.71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-336125.52</v>
      </c>
      <c r="H299" s="239"/>
      <c r="I299" s="239"/>
      <c r="J299" s="210">
        <v>-42282</v>
      </c>
      <c r="K299" s="209">
        <v>0</v>
      </c>
      <c r="L299" s="209">
        <v>-378407.52</v>
      </c>
      <c r="M299" s="209">
        <v>295974.08</v>
      </c>
      <c r="N299" s="242">
        <v>253692.08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-227756.46</v>
      </c>
      <c r="H300" s="239"/>
      <c r="I300" s="239"/>
      <c r="J300" s="210">
        <v>-32538</v>
      </c>
      <c r="K300" s="209">
        <v>0</v>
      </c>
      <c r="L300" s="209">
        <v>-260294.46</v>
      </c>
      <c r="M300" s="209">
        <v>422993.54</v>
      </c>
      <c r="N300" s="242">
        <v>390455.54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-39501.26</v>
      </c>
      <c r="H301" s="239"/>
      <c r="I301" s="239"/>
      <c r="J301" s="210">
        <v>-5982</v>
      </c>
      <c r="K301" s="209">
        <v>0</v>
      </c>
      <c r="L301" s="209">
        <v>-45483.26</v>
      </c>
      <c r="M301" s="209">
        <v>79748.740000000005</v>
      </c>
      <c r="N301" s="242">
        <v>73766.740000000005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-985042.14</v>
      </c>
      <c r="H302" s="239"/>
      <c r="I302" s="239"/>
      <c r="J302" s="210">
        <v>-164176</v>
      </c>
      <c r="K302" s="209">
        <v>0</v>
      </c>
      <c r="L302" s="209">
        <v>-1149218.1399999999</v>
      </c>
      <c r="M302" s="209">
        <v>2298460.86</v>
      </c>
      <c r="N302" s="242">
        <v>2134284.86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-15830</v>
      </c>
      <c r="H304" s="239"/>
      <c r="I304" s="239"/>
      <c r="J304" s="210">
        <v>-6546</v>
      </c>
      <c r="K304" s="209">
        <v>0</v>
      </c>
      <c r="L304" s="209">
        <v>-22376</v>
      </c>
      <c r="M304" s="209">
        <v>82370</v>
      </c>
      <c r="N304" s="242">
        <v>75824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-664331.93000000005</v>
      </c>
      <c r="H305" s="239"/>
      <c r="I305" s="239"/>
      <c r="J305" s="210">
        <v>-73818</v>
      </c>
      <c r="K305" s="209">
        <v>0</v>
      </c>
      <c r="L305" s="209">
        <v>-738149.93</v>
      </c>
      <c r="M305" s="209">
        <v>442905.07</v>
      </c>
      <c r="N305" s="242">
        <v>369087.07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-10560891.890000001</v>
      </c>
      <c r="H306" s="244"/>
      <c r="I306" s="244"/>
      <c r="J306" s="208">
        <v>-1338236</v>
      </c>
      <c r="K306" s="207">
        <v>0</v>
      </c>
      <c r="L306" s="207">
        <v>-11899127.890000001</v>
      </c>
      <c r="M306" s="207">
        <v>13430478.01</v>
      </c>
      <c r="N306" s="245">
        <v>12092242.01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-145527.29999999999</v>
      </c>
      <c r="H311" s="239"/>
      <c r="I311" s="239"/>
      <c r="J311" s="210">
        <v>-25312</v>
      </c>
      <c r="K311" s="209">
        <v>0</v>
      </c>
      <c r="L311" s="209">
        <v>-170839.3</v>
      </c>
      <c r="M311" s="209">
        <v>107573.7</v>
      </c>
      <c r="N311" s="242">
        <v>82261.7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-238917.42</v>
      </c>
      <c r="H313" s="239"/>
      <c r="I313" s="239"/>
      <c r="J313" s="210">
        <v>-42160.67</v>
      </c>
      <c r="K313" s="209">
        <v>0</v>
      </c>
      <c r="L313" s="209">
        <v>-281078.09000000003</v>
      </c>
      <c r="M313" s="209">
        <v>42160.67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-5009</v>
      </c>
      <c r="H314" s="239"/>
      <c r="I314" s="239"/>
      <c r="J314" s="210">
        <v>-60102</v>
      </c>
      <c r="K314" s="209">
        <v>0</v>
      </c>
      <c r="L314" s="209">
        <v>-65111</v>
      </c>
      <c r="M314" s="209">
        <v>295501.5</v>
      </c>
      <c r="N314" s="242">
        <v>235399.5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-15186</v>
      </c>
      <c r="H315" s="239"/>
      <c r="I315" s="239"/>
      <c r="J315" s="210">
        <v>-182227</v>
      </c>
      <c r="K315" s="209">
        <v>0</v>
      </c>
      <c r="L315" s="209">
        <v>-197413</v>
      </c>
      <c r="M315" s="209">
        <v>895950.8</v>
      </c>
      <c r="N315" s="242">
        <v>713723.8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-12677371.529999999</v>
      </c>
      <c r="H316" s="244"/>
      <c r="I316" s="244"/>
      <c r="J316" s="208">
        <v>-309801.67</v>
      </c>
      <c r="K316" s="207">
        <v>0</v>
      </c>
      <c r="L316" s="207">
        <v>-12987173.199999999</v>
      </c>
      <c r="M316" s="207">
        <v>1341187.1200000001</v>
      </c>
      <c r="N316" s="245">
        <v>1031385.45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-250930.26</v>
      </c>
      <c r="H334" s="239"/>
      <c r="I334" s="239"/>
      <c r="J334" s="210">
        <v>-31362</v>
      </c>
      <c r="K334" s="209">
        <v>0</v>
      </c>
      <c r="L334" s="209">
        <v>-282292.26</v>
      </c>
      <c r="M334" s="209">
        <v>62723.74</v>
      </c>
      <c r="N334" s="242">
        <v>31361.74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-984404.69</v>
      </c>
      <c r="H335" s="239"/>
      <c r="I335" s="239"/>
      <c r="J335" s="210">
        <v>-129966</v>
      </c>
      <c r="K335" s="209">
        <v>0</v>
      </c>
      <c r="L335" s="209">
        <v>-1114370.69</v>
      </c>
      <c r="M335" s="209">
        <v>259932.31</v>
      </c>
      <c r="N335" s="242">
        <v>129966.31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-572347.24</v>
      </c>
      <c r="H341" s="239"/>
      <c r="I341" s="239"/>
      <c r="J341" s="210">
        <v>-70424</v>
      </c>
      <c r="K341" s="209">
        <v>0</v>
      </c>
      <c r="L341" s="209">
        <v>-642771.24</v>
      </c>
      <c r="M341" s="209">
        <v>487102.76</v>
      </c>
      <c r="N341" s="242">
        <v>416678.76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-107020.04</v>
      </c>
      <c r="H342" s="239"/>
      <c r="I342" s="239"/>
      <c r="J342" s="210">
        <v>-13245</v>
      </c>
      <c r="K342" s="209">
        <v>0</v>
      </c>
      <c r="L342" s="209">
        <v>-120265.04</v>
      </c>
      <c r="M342" s="209">
        <v>157842.96</v>
      </c>
      <c r="N342" s="242">
        <v>144597.96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-1272200.95</v>
      </c>
      <c r="H345" s="239"/>
      <c r="I345" s="239"/>
      <c r="J345" s="210">
        <v>-10690.05</v>
      </c>
      <c r="K345" s="209">
        <v>0</v>
      </c>
      <c r="L345" s="209">
        <v>-1282891</v>
      </c>
      <c r="M345" s="209">
        <v>10690.05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-260964.17</v>
      </c>
      <c r="H346" s="239"/>
      <c r="I346" s="239"/>
      <c r="J346" s="210">
        <v>-2192.83</v>
      </c>
      <c r="K346" s="209">
        <v>0</v>
      </c>
      <c r="L346" s="209">
        <v>-263157</v>
      </c>
      <c r="M346" s="209">
        <v>2192.83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-1728887.01</v>
      </c>
      <c r="H347" s="239"/>
      <c r="I347" s="239"/>
      <c r="J347" s="210">
        <v>-14528.99</v>
      </c>
      <c r="K347" s="209">
        <v>0</v>
      </c>
      <c r="L347" s="209">
        <v>-1743416</v>
      </c>
      <c r="M347" s="209">
        <v>14528.99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-142163.65</v>
      </c>
      <c r="H348" s="239"/>
      <c r="I348" s="239"/>
      <c r="J348" s="210">
        <v>-11533.35</v>
      </c>
      <c r="K348" s="209">
        <v>0</v>
      </c>
      <c r="L348" s="209">
        <v>-153697</v>
      </c>
      <c r="M348" s="209">
        <v>11533.35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-236357.39</v>
      </c>
      <c r="H349" s="239"/>
      <c r="I349" s="239"/>
      <c r="J349" s="210">
        <v>-19169.61</v>
      </c>
      <c r="K349" s="209">
        <v>0</v>
      </c>
      <c r="L349" s="209">
        <v>-255527</v>
      </c>
      <c r="M349" s="209">
        <v>19169.61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-615879.91</v>
      </c>
      <c r="H350" s="239"/>
      <c r="I350" s="239"/>
      <c r="J350" s="210">
        <v>-52303.09</v>
      </c>
      <c r="K350" s="209">
        <v>0</v>
      </c>
      <c r="L350" s="209">
        <v>-668183</v>
      </c>
      <c r="M350" s="209">
        <v>52303.09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-48155.34</v>
      </c>
      <c r="H352" s="239"/>
      <c r="I352" s="239"/>
      <c r="J352" s="210">
        <v>-3903.66</v>
      </c>
      <c r="K352" s="209">
        <v>0</v>
      </c>
      <c r="L352" s="209">
        <v>-52059</v>
      </c>
      <c r="M352" s="209">
        <v>3903.66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-708456.03</v>
      </c>
      <c r="H353" s="239"/>
      <c r="I353" s="239"/>
      <c r="J353" s="210">
        <v>-80382</v>
      </c>
      <c r="K353" s="209">
        <v>0</v>
      </c>
      <c r="L353" s="209">
        <v>-788838.03</v>
      </c>
      <c r="M353" s="209">
        <v>241145.97</v>
      </c>
      <c r="N353" s="242">
        <v>160763.97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-195142.13</v>
      </c>
      <c r="H354" s="239"/>
      <c r="I354" s="239"/>
      <c r="J354" s="210">
        <v>-21044</v>
      </c>
      <c r="K354" s="209">
        <v>0</v>
      </c>
      <c r="L354" s="209">
        <v>-216186.13</v>
      </c>
      <c r="M354" s="209">
        <v>231490.87</v>
      </c>
      <c r="N354" s="242">
        <v>210446.87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-61338.44</v>
      </c>
      <c r="H357" s="239"/>
      <c r="I357" s="239"/>
      <c r="J357" s="210">
        <v>-7998</v>
      </c>
      <c r="K357" s="209">
        <v>0</v>
      </c>
      <c r="L357" s="209">
        <v>-69336.44</v>
      </c>
      <c r="M357" s="209">
        <v>18661.560000000001</v>
      </c>
      <c r="N357" s="242">
        <v>10663.56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-59038.44</v>
      </c>
      <c r="H358" s="239"/>
      <c r="I358" s="239"/>
      <c r="J358" s="210">
        <v>-7698</v>
      </c>
      <c r="K358" s="209">
        <v>0</v>
      </c>
      <c r="L358" s="209">
        <v>-66736.44</v>
      </c>
      <c r="M358" s="209">
        <v>17961.560000000001</v>
      </c>
      <c r="N358" s="242">
        <v>10263.56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-28147.97</v>
      </c>
      <c r="H359" s="239"/>
      <c r="I359" s="239"/>
      <c r="J359" s="210">
        <v>-3670</v>
      </c>
      <c r="K359" s="209">
        <v>0</v>
      </c>
      <c r="L359" s="209">
        <v>-31817.97</v>
      </c>
      <c r="M359" s="209">
        <v>8564.0300000000007</v>
      </c>
      <c r="N359" s="242">
        <v>4894.03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-18400</v>
      </c>
      <c r="H362" s="239"/>
      <c r="I362" s="239"/>
      <c r="J362" s="210">
        <v>-2400</v>
      </c>
      <c r="K362" s="209">
        <v>0</v>
      </c>
      <c r="L362" s="209">
        <v>-20800</v>
      </c>
      <c r="M362" s="209">
        <v>5600</v>
      </c>
      <c r="N362" s="242">
        <v>3200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-1819708.5</v>
      </c>
      <c r="H365" s="239"/>
      <c r="I365" s="239"/>
      <c r="J365" s="210">
        <v>-248142</v>
      </c>
      <c r="K365" s="209">
        <v>0</v>
      </c>
      <c r="L365" s="209">
        <v>-2067850.5</v>
      </c>
      <c r="M365" s="209">
        <v>1902421.5</v>
      </c>
      <c r="N365" s="242">
        <v>1654279.5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-954854.81</v>
      </c>
      <c r="H366" s="239"/>
      <c r="I366" s="239"/>
      <c r="J366" s="210">
        <v>-130206</v>
      </c>
      <c r="K366" s="209">
        <v>0</v>
      </c>
      <c r="L366" s="209">
        <v>-1085060.81</v>
      </c>
      <c r="M366" s="209">
        <v>998246.19</v>
      </c>
      <c r="N366" s="242">
        <v>868040.19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-439017.15</v>
      </c>
      <c r="H367" s="239"/>
      <c r="I367" s="239"/>
      <c r="J367" s="210">
        <v>-59863</v>
      </c>
      <c r="K367" s="209">
        <v>0</v>
      </c>
      <c r="L367" s="209">
        <v>-498880.15</v>
      </c>
      <c r="M367" s="209">
        <v>458954.85</v>
      </c>
      <c r="N367" s="242">
        <v>399091.85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-460750.39</v>
      </c>
      <c r="H368" s="239"/>
      <c r="I368" s="239"/>
      <c r="J368" s="210">
        <v>-62826</v>
      </c>
      <c r="K368" s="209">
        <v>0</v>
      </c>
      <c r="L368" s="209">
        <v>-523576.39</v>
      </c>
      <c r="M368" s="209">
        <v>481671.61</v>
      </c>
      <c r="N368" s="242">
        <v>418845.61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-239173.55</v>
      </c>
      <c r="H369" s="239"/>
      <c r="I369" s="239"/>
      <c r="J369" s="210">
        <v>-32613</v>
      </c>
      <c r="K369" s="209">
        <v>0</v>
      </c>
      <c r="L369" s="209">
        <v>-271786.55</v>
      </c>
      <c r="M369" s="209">
        <v>250032.45</v>
      </c>
      <c r="N369" s="242">
        <v>217419.45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-502724.2</v>
      </c>
      <c r="H370" s="239"/>
      <c r="I370" s="239"/>
      <c r="J370" s="210">
        <v>-68550</v>
      </c>
      <c r="K370" s="209">
        <v>0</v>
      </c>
      <c r="L370" s="209">
        <v>-571274.19999999995</v>
      </c>
      <c r="M370" s="209">
        <v>868309.8</v>
      </c>
      <c r="N370" s="242">
        <v>799759.8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-1246870.3500000001</v>
      </c>
      <c r="H371" s="239"/>
      <c r="I371" s="239"/>
      <c r="J371" s="210">
        <v>-170028</v>
      </c>
      <c r="K371" s="209">
        <v>0</v>
      </c>
      <c r="L371" s="209">
        <v>-1416898.35</v>
      </c>
      <c r="M371" s="209">
        <v>1303544.6499999999</v>
      </c>
      <c r="N371" s="242">
        <v>1133516.6499999999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-325502.65000000002</v>
      </c>
      <c r="H372" s="239"/>
      <c r="I372" s="239"/>
      <c r="J372" s="210">
        <v>-44386</v>
      </c>
      <c r="K372" s="209">
        <v>0</v>
      </c>
      <c r="L372" s="209">
        <v>-369888.65</v>
      </c>
      <c r="M372" s="209">
        <v>1006077.35</v>
      </c>
      <c r="N372" s="242">
        <v>961691.35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-396628.65</v>
      </c>
      <c r="H373" s="239"/>
      <c r="I373" s="239"/>
      <c r="J373" s="210">
        <v>-54088</v>
      </c>
      <c r="K373" s="209">
        <v>0</v>
      </c>
      <c r="L373" s="209">
        <v>-450716.65</v>
      </c>
      <c r="M373" s="209">
        <v>414672.35</v>
      </c>
      <c r="N373" s="242">
        <v>360584.35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-57777.11</v>
      </c>
      <c r="H375" s="239"/>
      <c r="I375" s="239"/>
      <c r="J375" s="210">
        <v>-7972</v>
      </c>
      <c r="K375" s="209">
        <v>0</v>
      </c>
      <c r="L375" s="209">
        <v>-65749.11</v>
      </c>
      <c r="M375" s="209">
        <v>21922.89</v>
      </c>
      <c r="N375" s="242">
        <v>13950.89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-65097.7</v>
      </c>
      <c r="H377" s="239"/>
      <c r="I377" s="239"/>
      <c r="J377" s="210">
        <v>-9082</v>
      </c>
      <c r="K377" s="209">
        <v>0</v>
      </c>
      <c r="L377" s="209">
        <v>-74179.7</v>
      </c>
      <c r="M377" s="209">
        <v>25732.3</v>
      </c>
      <c r="N377" s="242">
        <v>16650.3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-63962.22</v>
      </c>
      <c r="H383" s="239"/>
      <c r="I383" s="239"/>
      <c r="J383" s="210">
        <v>-9162</v>
      </c>
      <c r="K383" s="209">
        <v>0</v>
      </c>
      <c r="L383" s="209">
        <v>-73124.22</v>
      </c>
      <c r="M383" s="209">
        <v>27487.78</v>
      </c>
      <c r="N383" s="242">
        <v>18325.78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-135795.04999999999</v>
      </c>
      <c r="H384" s="239"/>
      <c r="I384" s="239"/>
      <c r="J384" s="210">
        <v>-19530</v>
      </c>
      <c r="K384" s="209">
        <v>0</v>
      </c>
      <c r="L384" s="209">
        <v>-155325.04999999999</v>
      </c>
      <c r="M384" s="209">
        <v>58590.5</v>
      </c>
      <c r="N384" s="242">
        <v>39060.5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-87506.12</v>
      </c>
      <c r="H385" s="239"/>
      <c r="I385" s="239"/>
      <c r="J385" s="210">
        <v>-12498</v>
      </c>
      <c r="K385" s="209">
        <v>0</v>
      </c>
      <c r="L385" s="209">
        <v>-100004.12</v>
      </c>
      <c r="M385" s="209">
        <v>37493.879999999997</v>
      </c>
      <c r="N385" s="242">
        <v>24995.88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-227293.68</v>
      </c>
      <c r="H387" s="239"/>
      <c r="I387" s="239"/>
      <c r="J387" s="210">
        <v>-25462</v>
      </c>
      <c r="K387" s="209">
        <v>0</v>
      </c>
      <c r="L387" s="209">
        <v>-252755.68</v>
      </c>
      <c r="M387" s="209">
        <v>76385.55</v>
      </c>
      <c r="N387" s="242">
        <v>50923.55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-703577.63</v>
      </c>
      <c r="H388" s="239"/>
      <c r="I388" s="239"/>
      <c r="J388" s="210">
        <v>-100509</v>
      </c>
      <c r="K388" s="209">
        <v>0</v>
      </c>
      <c r="L388" s="209">
        <v>-804086.63</v>
      </c>
      <c r="M388" s="209">
        <v>301527.37</v>
      </c>
      <c r="N388" s="242">
        <v>201018.37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-35275</v>
      </c>
      <c r="H389" s="239"/>
      <c r="I389" s="239"/>
      <c r="J389" s="210">
        <v>-5100</v>
      </c>
      <c r="K389" s="209">
        <v>0</v>
      </c>
      <c r="L389" s="209">
        <v>-40375</v>
      </c>
      <c r="M389" s="209">
        <v>15725</v>
      </c>
      <c r="N389" s="242">
        <v>10625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-43268.45</v>
      </c>
      <c r="H390" s="239"/>
      <c r="I390" s="239"/>
      <c r="J390" s="210">
        <v>-6258</v>
      </c>
      <c r="K390" s="209">
        <v>0</v>
      </c>
      <c r="L390" s="209">
        <v>-49526.45</v>
      </c>
      <c r="M390" s="209">
        <v>19295.55</v>
      </c>
      <c r="N390" s="242">
        <v>13037.55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-179741.72</v>
      </c>
      <c r="H391" s="239"/>
      <c r="I391" s="239"/>
      <c r="J391" s="210">
        <v>-25875</v>
      </c>
      <c r="K391" s="209">
        <v>0</v>
      </c>
      <c r="L391" s="209">
        <v>-205616.72</v>
      </c>
      <c r="M391" s="209">
        <v>206997.28</v>
      </c>
      <c r="N391" s="242">
        <v>181122.28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-127010.56</v>
      </c>
      <c r="H392" s="239"/>
      <c r="I392" s="239"/>
      <c r="J392" s="210">
        <v>-18143</v>
      </c>
      <c r="K392" s="209">
        <v>0</v>
      </c>
      <c r="L392" s="209">
        <v>-145153.56</v>
      </c>
      <c r="M392" s="209">
        <v>417288.3</v>
      </c>
      <c r="N392" s="242">
        <v>399145.3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-319853.89</v>
      </c>
      <c r="H393" s="239"/>
      <c r="I393" s="239"/>
      <c r="J393" s="210">
        <v>-45664</v>
      </c>
      <c r="K393" s="209">
        <v>0</v>
      </c>
      <c r="L393" s="209">
        <v>-365517.89</v>
      </c>
      <c r="M393" s="209">
        <v>365310.45</v>
      </c>
      <c r="N393" s="242">
        <v>319646.45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-477301.89</v>
      </c>
      <c r="H394" s="239"/>
      <c r="I394" s="239"/>
      <c r="J394" s="210">
        <v>-68286</v>
      </c>
      <c r="K394" s="209">
        <v>0</v>
      </c>
      <c r="L394" s="209">
        <v>-545587.89</v>
      </c>
      <c r="M394" s="209">
        <v>546288.41</v>
      </c>
      <c r="N394" s="242">
        <v>478002.41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-866087.76</v>
      </c>
      <c r="H395" s="239"/>
      <c r="I395" s="239"/>
      <c r="J395" s="210">
        <v>-123870</v>
      </c>
      <c r="K395" s="209">
        <v>0</v>
      </c>
      <c r="L395" s="209">
        <v>-989957.76</v>
      </c>
      <c r="M395" s="209">
        <v>990954.58</v>
      </c>
      <c r="N395" s="242">
        <v>867084.58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-304858.44</v>
      </c>
      <c r="H396" s="239"/>
      <c r="I396" s="239"/>
      <c r="J396" s="210">
        <v>-43554</v>
      </c>
      <c r="K396" s="209">
        <v>0</v>
      </c>
      <c r="L396" s="209">
        <v>-348412.44</v>
      </c>
      <c r="M396" s="209">
        <v>1001740.56</v>
      </c>
      <c r="N396" s="242">
        <v>958186.56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-86468</v>
      </c>
      <c r="H400" s="239"/>
      <c r="I400" s="239"/>
      <c r="J400" s="210">
        <v>-12810</v>
      </c>
      <c r="K400" s="209">
        <v>0</v>
      </c>
      <c r="L400" s="209">
        <v>-99278</v>
      </c>
      <c r="M400" s="209">
        <v>41632</v>
      </c>
      <c r="N400" s="242">
        <v>28822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-40500</v>
      </c>
      <c r="H402" s="239"/>
      <c r="I402" s="239"/>
      <c r="J402" s="210">
        <v>-6000</v>
      </c>
      <c r="K402" s="209">
        <v>0</v>
      </c>
      <c r="L402" s="209">
        <v>-46500</v>
      </c>
      <c r="M402" s="209">
        <v>19500</v>
      </c>
      <c r="N402" s="242">
        <v>13500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-31083.95</v>
      </c>
      <c r="H403" s="239"/>
      <c r="I403" s="239"/>
      <c r="J403" s="210">
        <v>-4662</v>
      </c>
      <c r="K403" s="209">
        <v>0</v>
      </c>
      <c r="L403" s="209">
        <v>-35745.949999999997</v>
      </c>
      <c r="M403" s="209">
        <v>15540.05</v>
      </c>
      <c r="N403" s="242">
        <v>10878.05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-190487.37</v>
      </c>
      <c r="H406" s="239"/>
      <c r="I406" s="239"/>
      <c r="J406" s="210">
        <v>-28938</v>
      </c>
      <c r="K406" s="209">
        <v>0</v>
      </c>
      <c r="L406" s="209">
        <v>-219425.37</v>
      </c>
      <c r="M406" s="209">
        <v>388247.63</v>
      </c>
      <c r="N406" s="242">
        <v>359309.63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-330578.86</v>
      </c>
      <c r="H407" s="239"/>
      <c r="I407" s="239"/>
      <c r="J407" s="210">
        <v>-50862</v>
      </c>
      <c r="K407" s="209">
        <v>0</v>
      </c>
      <c r="L407" s="209">
        <v>-381440.86</v>
      </c>
      <c r="M407" s="209">
        <v>432321.14</v>
      </c>
      <c r="N407" s="242">
        <v>381459.14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-27584.54</v>
      </c>
      <c r="H415" s="239"/>
      <c r="I415" s="239"/>
      <c r="J415" s="210">
        <v>-4302</v>
      </c>
      <c r="K415" s="209">
        <v>0</v>
      </c>
      <c r="L415" s="209">
        <v>-31886.54</v>
      </c>
      <c r="M415" s="209">
        <v>15415.46</v>
      </c>
      <c r="N415" s="242">
        <v>11113.46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-59327.97</v>
      </c>
      <c r="H417" s="239"/>
      <c r="I417" s="239"/>
      <c r="J417" s="210">
        <v>-9366</v>
      </c>
      <c r="K417" s="209">
        <v>0</v>
      </c>
      <c r="L417" s="209">
        <v>-68693.97</v>
      </c>
      <c r="M417" s="209">
        <v>81172.03</v>
      </c>
      <c r="N417" s="242">
        <v>71806.03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-255578.11</v>
      </c>
      <c r="H418" s="239"/>
      <c r="I418" s="239"/>
      <c r="J418" s="210">
        <v>-40351</v>
      </c>
      <c r="K418" s="209">
        <v>0</v>
      </c>
      <c r="L418" s="209">
        <v>-295929.11</v>
      </c>
      <c r="M418" s="209">
        <v>147954.38</v>
      </c>
      <c r="N418" s="242">
        <v>107603.38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-63515.99</v>
      </c>
      <c r="H420" s="239"/>
      <c r="I420" s="239"/>
      <c r="J420" s="210">
        <v>-10031</v>
      </c>
      <c r="K420" s="209">
        <v>0</v>
      </c>
      <c r="L420" s="209">
        <v>-73546.990000000005</v>
      </c>
      <c r="M420" s="209">
        <v>137092.01</v>
      </c>
      <c r="N420" s="242">
        <v>127061.01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-154158.54</v>
      </c>
      <c r="H423" s="239"/>
      <c r="I423" s="239"/>
      <c r="J423" s="210">
        <v>-25002</v>
      </c>
      <c r="K423" s="209">
        <v>0</v>
      </c>
      <c r="L423" s="209">
        <v>-179160.54</v>
      </c>
      <c r="M423" s="209">
        <v>95841.46</v>
      </c>
      <c r="N423" s="242">
        <v>70839.460000000006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-126408.54</v>
      </c>
      <c r="H424" s="239"/>
      <c r="I424" s="239"/>
      <c r="J424" s="210">
        <v>-20502</v>
      </c>
      <c r="K424" s="209">
        <v>0</v>
      </c>
      <c r="L424" s="209">
        <v>-146910.54</v>
      </c>
      <c r="M424" s="209">
        <v>78591.460000000006</v>
      </c>
      <c r="N424" s="242">
        <v>58089.46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-34831.42</v>
      </c>
      <c r="H426" s="239"/>
      <c r="I426" s="239"/>
      <c r="J426" s="210">
        <v>-5646</v>
      </c>
      <c r="K426" s="209">
        <v>0</v>
      </c>
      <c r="L426" s="209">
        <v>-40477.42</v>
      </c>
      <c r="M426" s="209">
        <v>21643.08</v>
      </c>
      <c r="N426" s="242">
        <v>15997.08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-74667.3</v>
      </c>
      <c r="H427" s="239"/>
      <c r="I427" s="239"/>
      <c r="J427" s="210">
        <v>-12271</v>
      </c>
      <c r="K427" s="209">
        <v>0</v>
      </c>
      <c r="L427" s="209">
        <v>-86938.3</v>
      </c>
      <c r="M427" s="209">
        <v>109419.7</v>
      </c>
      <c r="N427" s="242">
        <v>97148.7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-49933.599999999999</v>
      </c>
      <c r="H428" s="239"/>
      <c r="I428" s="239"/>
      <c r="J428" s="210">
        <v>-8209</v>
      </c>
      <c r="K428" s="209">
        <v>0</v>
      </c>
      <c r="L428" s="209">
        <v>-58142.6</v>
      </c>
      <c r="M428" s="209">
        <v>32151.4</v>
      </c>
      <c r="N428" s="242">
        <v>23942.400000000001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-18548.79</v>
      </c>
      <c r="H429" s="239"/>
      <c r="I429" s="239"/>
      <c r="J429" s="210">
        <v>-3052</v>
      </c>
      <c r="K429" s="209">
        <v>0</v>
      </c>
      <c r="L429" s="209">
        <v>-21600.79</v>
      </c>
      <c r="M429" s="209">
        <v>11951.21</v>
      </c>
      <c r="N429" s="242">
        <v>8899.2099999999991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-66924.800000000003</v>
      </c>
      <c r="H430" s="239"/>
      <c r="I430" s="239"/>
      <c r="J430" s="210">
        <v>-10998</v>
      </c>
      <c r="K430" s="209">
        <v>0</v>
      </c>
      <c r="L430" s="209">
        <v>-77922.8</v>
      </c>
      <c r="M430" s="209">
        <v>43075.199999999997</v>
      </c>
      <c r="N430" s="242">
        <v>32077.200000000001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-28288</v>
      </c>
      <c r="H431" s="239"/>
      <c r="I431" s="239"/>
      <c r="J431" s="210">
        <v>-4650</v>
      </c>
      <c r="K431" s="209">
        <v>0</v>
      </c>
      <c r="L431" s="209">
        <v>-32938</v>
      </c>
      <c r="M431" s="209">
        <v>18212</v>
      </c>
      <c r="N431" s="242">
        <v>13562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-90290.93</v>
      </c>
      <c r="H432" s="239"/>
      <c r="I432" s="239"/>
      <c r="J432" s="210">
        <v>-15050</v>
      </c>
      <c r="K432" s="209">
        <v>0</v>
      </c>
      <c r="L432" s="209">
        <v>-105340.93</v>
      </c>
      <c r="M432" s="209">
        <v>60198.07</v>
      </c>
      <c r="N432" s="242">
        <v>45148.07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-289803.51</v>
      </c>
      <c r="H433" s="239"/>
      <c r="I433" s="239"/>
      <c r="J433" s="210">
        <v>-48301</v>
      </c>
      <c r="K433" s="209">
        <v>0</v>
      </c>
      <c r="L433" s="209">
        <v>-338104.51</v>
      </c>
      <c r="M433" s="209">
        <v>434712.49</v>
      </c>
      <c r="N433" s="242">
        <v>386411.49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-120030.15</v>
      </c>
      <c r="H435" s="239"/>
      <c r="I435" s="239"/>
      <c r="J435" s="210">
        <v>-20007</v>
      </c>
      <c r="K435" s="209">
        <v>0</v>
      </c>
      <c r="L435" s="209">
        <v>-140037.15</v>
      </c>
      <c r="M435" s="209">
        <v>180057.85</v>
      </c>
      <c r="N435" s="242">
        <v>160050.85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-26594.26</v>
      </c>
      <c r="H436" s="239"/>
      <c r="I436" s="239"/>
      <c r="J436" s="210">
        <v>-4434</v>
      </c>
      <c r="K436" s="209">
        <v>0</v>
      </c>
      <c r="L436" s="209">
        <v>-31028.26</v>
      </c>
      <c r="M436" s="209">
        <v>39905.74</v>
      </c>
      <c r="N436" s="242">
        <v>35471.74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-26594.26</v>
      </c>
      <c r="H437" s="239"/>
      <c r="I437" s="239"/>
      <c r="J437" s="210">
        <v>-4434</v>
      </c>
      <c r="K437" s="209">
        <v>0</v>
      </c>
      <c r="L437" s="209">
        <v>-31028.26</v>
      </c>
      <c r="M437" s="209">
        <v>39905.74</v>
      </c>
      <c r="N437" s="242">
        <v>35471.74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-26594.26</v>
      </c>
      <c r="H438" s="239"/>
      <c r="I438" s="239"/>
      <c r="J438" s="210">
        <v>-4434</v>
      </c>
      <c r="K438" s="209">
        <v>0</v>
      </c>
      <c r="L438" s="209">
        <v>-31028.26</v>
      </c>
      <c r="M438" s="209">
        <v>39905.74</v>
      </c>
      <c r="N438" s="242">
        <v>35471.74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-26594.26</v>
      </c>
      <c r="H439" s="239"/>
      <c r="I439" s="239"/>
      <c r="J439" s="210">
        <v>-4434</v>
      </c>
      <c r="K439" s="209">
        <v>0</v>
      </c>
      <c r="L439" s="209">
        <v>-31028.26</v>
      </c>
      <c r="M439" s="209">
        <v>39905.74</v>
      </c>
      <c r="N439" s="242">
        <v>35471.74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-26594.26</v>
      </c>
      <c r="H440" s="239"/>
      <c r="I440" s="239"/>
      <c r="J440" s="210">
        <v>-4434</v>
      </c>
      <c r="K440" s="209">
        <v>0</v>
      </c>
      <c r="L440" s="209">
        <v>-31028.26</v>
      </c>
      <c r="M440" s="209">
        <v>39905.74</v>
      </c>
      <c r="N440" s="242">
        <v>35471.74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-26594.26</v>
      </c>
      <c r="H441" s="239"/>
      <c r="I441" s="239"/>
      <c r="J441" s="210">
        <v>-4434</v>
      </c>
      <c r="K441" s="209">
        <v>0</v>
      </c>
      <c r="L441" s="209">
        <v>-31028.26</v>
      </c>
      <c r="M441" s="209">
        <v>39905.74</v>
      </c>
      <c r="N441" s="242">
        <v>35471.74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-26594.26</v>
      </c>
      <c r="H442" s="239"/>
      <c r="I442" s="239"/>
      <c r="J442" s="210">
        <v>-4434</v>
      </c>
      <c r="K442" s="209">
        <v>0</v>
      </c>
      <c r="L442" s="209">
        <v>-31028.26</v>
      </c>
      <c r="M442" s="209">
        <v>39905.74</v>
      </c>
      <c r="N442" s="242">
        <v>35471.74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-26594.26</v>
      </c>
      <c r="H443" s="239"/>
      <c r="I443" s="239"/>
      <c r="J443" s="210">
        <v>-4434</v>
      </c>
      <c r="K443" s="209">
        <v>0</v>
      </c>
      <c r="L443" s="209">
        <v>-31028.26</v>
      </c>
      <c r="M443" s="209">
        <v>39905.74</v>
      </c>
      <c r="N443" s="242">
        <v>35471.74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-126096.55</v>
      </c>
      <c r="H444" s="239"/>
      <c r="I444" s="239"/>
      <c r="J444" s="210">
        <v>-21018</v>
      </c>
      <c r="K444" s="209">
        <v>0</v>
      </c>
      <c r="L444" s="209">
        <v>-147114.54999999999</v>
      </c>
      <c r="M444" s="209">
        <v>294252.45</v>
      </c>
      <c r="N444" s="242">
        <v>273234.45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-40808.129999999997</v>
      </c>
      <c r="H447" s="239"/>
      <c r="I447" s="239"/>
      <c r="J447" s="210">
        <v>-6798</v>
      </c>
      <c r="K447" s="209">
        <v>0</v>
      </c>
      <c r="L447" s="209">
        <v>-47606.13</v>
      </c>
      <c r="M447" s="209">
        <v>27191.87</v>
      </c>
      <c r="N447" s="242">
        <v>20393.87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-103595.46</v>
      </c>
      <c r="H450" s="239"/>
      <c r="I450" s="239"/>
      <c r="J450" s="210">
        <v>-17512</v>
      </c>
      <c r="K450" s="209">
        <v>0</v>
      </c>
      <c r="L450" s="209">
        <v>-121107.46</v>
      </c>
      <c r="M450" s="209">
        <v>71504.539999999994</v>
      </c>
      <c r="N450" s="242">
        <v>53992.54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-39561.599999999999</v>
      </c>
      <c r="H465" s="239"/>
      <c r="I465" s="239"/>
      <c r="J465" s="210">
        <v>-7534</v>
      </c>
      <c r="K465" s="209">
        <v>0</v>
      </c>
      <c r="L465" s="209">
        <v>-47095.6</v>
      </c>
      <c r="M465" s="209">
        <v>35788.400000000001</v>
      </c>
      <c r="N465" s="242">
        <v>28254.400000000001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-39561.599999999999</v>
      </c>
      <c r="H466" s="239"/>
      <c r="I466" s="239"/>
      <c r="J466" s="210">
        <v>-7534</v>
      </c>
      <c r="K466" s="209">
        <v>0</v>
      </c>
      <c r="L466" s="209">
        <v>-47095.6</v>
      </c>
      <c r="M466" s="209">
        <v>35788.400000000001</v>
      </c>
      <c r="N466" s="242">
        <v>28254.400000000001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-39561.599999999999</v>
      </c>
      <c r="H467" s="239"/>
      <c r="I467" s="239"/>
      <c r="J467" s="210">
        <v>-7534</v>
      </c>
      <c r="K467" s="209">
        <v>0</v>
      </c>
      <c r="L467" s="209">
        <v>-47095.6</v>
      </c>
      <c r="M467" s="209">
        <v>35788.400000000001</v>
      </c>
      <c r="N467" s="242">
        <v>28254.400000000001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-39561.599999999999</v>
      </c>
      <c r="H468" s="239"/>
      <c r="I468" s="239"/>
      <c r="J468" s="210">
        <v>-7534</v>
      </c>
      <c r="K468" s="209">
        <v>0</v>
      </c>
      <c r="L468" s="209">
        <v>-47095.6</v>
      </c>
      <c r="M468" s="209">
        <v>35788.400000000001</v>
      </c>
      <c r="N468" s="242">
        <v>28254.400000000001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-40102.75</v>
      </c>
      <c r="H469" s="239"/>
      <c r="I469" s="239"/>
      <c r="J469" s="210">
        <v>-7638</v>
      </c>
      <c r="K469" s="209">
        <v>0</v>
      </c>
      <c r="L469" s="209">
        <v>-47740.75</v>
      </c>
      <c r="M469" s="209">
        <v>36280.25</v>
      </c>
      <c r="N469" s="242">
        <v>28642.25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-40102.75</v>
      </c>
      <c r="H470" s="239"/>
      <c r="I470" s="239"/>
      <c r="J470" s="210">
        <v>-7638</v>
      </c>
      <c r="K470" s="209">
        <v>0</v>
      </c>
      <c r="L470" s="209">
        <v>-47740.75</v>
      </c>
      <c r="M470" s="209">
        <v>36280.25</v>
      </c>
      <c r="N470" s="242">
        <v>28642.25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-40102.75</v>
      </c>
      <c r="H471" s="239"/>
      <c r="I471" s="239"/>
      <c r="J471" s="210">
        <v>-7638</v>
      </c>
      <c r="K471" s="209">
        <v>0</v>
      </c>
      <c r="L471" s="209">
        <v>-47740.75</v>
      </c>
      <c r="M471" s="209">
        <v>36280.25</v>
      </c>
      <c r="N471" s="242">
        <v>28642.25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-17587.75</v>
      </c>
      <c r="H473" s="239"/>
      <c r="I473" s="239"/>
      <c r="J473" s="210">
        <v>-3354</v>
      </c>
      <c r="K473" s="209">
        <v>0</v>
      </c>
      <c r="L473" s="209">
        <v>-20941.75</v>
      </c>
      <c r="M473" s="209">
        <v>15931.25</v>
      </c>
      <c r="N473" s="242">
        <v>12577.25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-494959.95</v>
      </c>
      <c r="H482" s="239"/>
      <c r="I482" s="239"/>
      <c r="J482" s="210">
        <v>-0.05</v>
      </c>
      <c r="K482" s="209">
        <v>0</v>
      </c>
      <c r="L482" s="209">
        <v>-494960</v>
      </c>
      <c r="M482" s="209">
        <v>0.05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-68347.289999999994</v>
      </c>
      <c r="H483" s="239"/>
      <c r="I483" s="239"/>
      <c r="J483" s="210">
        <v>-13672</v>
      </c>
      <c r="K483" s="209">
        <v>0</v>
      </c>
      <c r="L483" s="209">
        <v>-82019.289999999994</v>
      </c>
      <c r="M483" s="209">
        <v>136720.71</v>
      </c>
      <c r="N483" s="242">
        <v>123048.71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-26407.29</v>
      </c>
      <c r="H484" s="239"/>
      <c r="I484" s="239"/>
      <c r="J484" s="210">
        <v>-5285</v>
      </c>
      <c r="K484" s="209">
        <v>0</v>
      </c>
      <c r="L484" s="209">
        <v>-31692.29</v>
      </c>
      <c r="M484" s="209">
        <v>26424.71</v>
      </c>
      <c r="N484" s="242">
        <v>21139.71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-20860.09</v>
      </c>
      <c r="H485" s="239"/>
      <c r="I485" s="239"/>
      <c r="J485" s="210">
        <v>-4170</v>
      </c>
      <c r="K485" s="209">
        <v>0</v>
      </c>
      <c r="L485" s="209">
        <v>-25030.09</v>
      </c>
      <c r="M485" s="209">
        <v>41699.910000000003</v>
      </c>
      <c r="N485" s="242">
        <v>37529.910000000003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-20860.09</v>
      </c>
      <c r="H486" s="239"/>
      <c r="I486" s="239"/>
      <c r="J486" s="210">
        <v>-4170</v>
      </c>
      <c r="K486" s="209">
        <v>0</v>
      </c>
      <c r="L486" s="209">
        <v>-25030.09</v>
      </c>
      <c r="M486" s="209">
        <v>41699.910000000003</v>
      </c>
      <c r="N486" s="242">
        <v>37529.910000000003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-20860.09</v>
      </c>
      <c r="H487" s="239"/>
      <c r="I487" s="239"/>
      <c r="J487" s="210">
        <v>-4170</v>
      </c>
      <c r="K487" s="209">
        <v>0</v>
      </c>
      <c r="L487" s="209">
        <v>-25030.09</v>
      </c>
      <c r="M487" s="209">
        <v>41699.910000000003</v>
      </c>
      <c r="N487" s="242">
        <v>37529.910000000003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-20860.09</v>
      </c>
      <c r="H488" s="239"/>
      <c r="I488" s="239"/>
      <c r="J488" s="210">
        <v>-4170</v>
      </c>
      <c r="K488" s="209">
        <v>0</v>
      </c>
      <c r="L488" s="209">
        <v>-25030.09</v>
      </c>
      <c r="M488" s="209">
        <v>41699.910000000003</v>
      </c>
      <c r="N488" s="242">
        <v>37529.910000000003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-20860.09</v>
      </c>
      <c r="H489" s="239"/>
      <c r="I489" s="239"/>
      <c r="J489" s="210">
        <v>-4170</v>
      </c>
      <c r="K489" s="209">
        <v>0</v>
      </c>
      <c r="L489" s="209">
        <v>-25030.09</v>
      </c>
      <c r="M489" s="209">
        <v>41699.910000000003</v>
      </c>
      <c r="N489" s="242">
        <v>37529.910000000003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-20860.09</v>
      </c>
      <c r="H490" s="239"/>
      <c r="I490" s="239"/>
      <c r="J490" s="210">
        <v>-4170</v>
      </c>
      <c r="K490" s="209">
        <v>0</v>
      </c>
      <c r="L490" s="209">
        <v>-25030.09</v>
      </c>
      <c r="M490" s="209">
        <v>41699.910000000003</v>
      </c>
      <c r="N490" s="242">
        <v>37529.910000000003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-20860.09</v>
      </c>
      <c r="H491" s="239"/>
      <c r="I491" s="239"/>
      <c r="J491" s="210">
        <v>-4170</v>
      </c>
      <c r="K491" s="209">
        <v>0</v>
      </c>
      <c r="L491" s="209">
        <v>-25030.09</v>
      </c>
      <c r="M491" s="209">
        <v>41699.910000000003</v>
      </c>
      <c r="N491" s="242">
        <v>37529.910000000003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-20860.09</v>
      </c>
      <c r="H492" s="239"/>
      <c r="I492" s="239"/>
      <c r="J492" s="210">
        <v>-4170</v>
      </c>
      <c r="K492" s="209">
        <v>0</v>
      </c>
      <c r="L492" s="209">
        <v>-25030.09</v>
      </c>
      <c r="M492" s="209">
        <v>41699.910000000003</v>
      </c>
      <c r="N492" s="242">
        <v>37529.910000000003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-20860.09</v>
      </c>
      <c r="H493" s="239"/>
      <c r="I493" s="239"/>
      <c r="J493" s="210">
        <v>-4170</v>
      </c>
      <c r="K493" s="209">
        <v>0</v>
      </c>
      <c r="L493" s="209">
        <v>-25030.09</v>
      </c>
      <c r="M493" s="209">
        <v>41699.910000000003</v>
      </c>
      <c r="N493" s="242">
        <v>37529.910000000003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-20860.09</v>
      </c>
      <c r="H494" s="239"/>
      <c r="I494" s="239"/>
      <c r="J494" s="210">
        <v>-4170</v>
      </c>
      <c r="K494" s="209">
        <v>0</v>
      </c>
      <c r="L494" s="209">
        <v>-25030.09</v>
      </c>
      <c r="M494" s="209">
        <v>41699.910000000003</v>
      </c>
      <c r="N494" s="242">
        <v>37529.910000000003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-20860.09</v>
      </c>
      <c r="H495" s="239"/>
      <c r="I495" s="239"/>
      <c r="J495" s="210">
        <v>-4170</v>
      </c>
      <c r="K495" s="209">
        <v>0</v>
      </c>
      <c r="L495" s="209">
        <v>-25030.09</v>
      </c>
      <c r="M495" s="209">
        <v>41699.910000000003</v>
      </c>
      <c r="N495" s="242">
        <v>37529.910000000003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-20860.09</v>
      </c>
      <c r="H496" s="239"/>
      <c r="I496" s="239"/>
      <c r="J496" s="210">
        <v>-4170</v>
      </c>
      <c r="K496" s="209">
        <v>0</v>
      </c>
      <c r="L496" s="209">
        <v>-25030.09</v>
      </c>
      <c r="M496" s="209">
        <v>41699.910000000003</v>
      </c>
      <c r="N496" s="242">
        <v>37529.910000000003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-20860.09</v>
      </c>
      <c r="H497" s="239"/>
      <c r="I497" s="239"/>
      <c r="J497" s="210">
        <v>-4170</v>
      </c>
      <c r="K497" s="209">
        <v>0</v>
      </c>
      <c r="L497" s="209">
        <v>-25030.09</v>
      </c>
      <c r="M497" s="209">
        <v>41699.910000000003</v>
      </c>
      <c r="N497" s="242">
        <v>37529.910000000003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-20860.09</v>
      </c>
      <c r="H498" s="239"/>
      <c r="I498" s="239"/>
      <c r="J498" s="210">
        <v>-4170</v>
      </c>
      <c r="K498" s="209">
        <v>0</v>
      </c>
      <c r="L498" s="209">
        <v>-25030.09</v>
      </c>
      <c r="M498" s="209">
        <v>41699.910000000003</v>
      </c>
      <c r="N498" s="242">
        <v>37529.910000000003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-26979.38</v>
      </c>
      <c r="H499" s="239"/>
      <c r="I499" s="239"/>
      <c r="J499" s="210">
        <v>-931.12</v>
      </c>
      <c r="K499" s="209">
        <v>0</v>
      </c>
      <c r="L499" s="209">
        <v>-27910.5</v>
      </c>
      <c r="M499" s="209">
        <v>931.12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-82040</v>
      </c>
      <c r="H500" s="239"/>
      <c r="I500" s="239"/>
      <c r="J500" s="210">
        <v>-17580</v>
      </c>
      <c r="K500" s="209">
        <v>0</v>
      </c>
      <c r="L500" s="209">
        <v>-99620</v>
      </c>
      <c r="M500" s="209">
        <v>93760</v>
      </c>
      <c r="N500" s="242">
        <v>76180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-140670.1</v>
      </c>
      <c r="H501" s="239"/>
      <c r="I501" s="239"/>
      <c r="J501" s="210">
        <v>-12859.4</v>
      </c>
      <c r="K501" s="209">
        <v>0</v>
      </c>
      <c r="L501" s="209">
        <v>-153529.5</v>
      </c>
      <c r="M501" s="209">
        <v>12859.4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-178988.96</v>
      </c>
      <c r="H502" s="239"/>
      <c r="I502" s="239"/>
      <c r="J502" s="210">
        <v>-39090</v>
      </c>
      <c r="K502" s="209">
        <v>0</v>
      </c>
      <c r="L502" s="209">
        <v>-218078.96</v>
      </c>
      <c r="M502" s="209">
        <v>407187.85</v>
      </c>
      <c r="N502" s="242">
        <v>368097.85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-132879.45000000001</v>
      </c>
      <c r="H503" s="239"/>
      <c r="I503" s="239"/>
      <c r="J503" s="210">
        <v>-18120</v>
      </c>
      <c r="K503" s="209">
        <v>0</v>
      </c>
      <c r="L503" s="209">
        <v>-150999.45000000001</v>
      </c>
      <c r="M503" s="209">
        <v>138918.76999999999</v>
      </c>
      <c r="N503" s="242">
        <v>120798.77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-38319.800000000003</v>
      </c>
      <c r="H504" s="239"/>
      <c r="I504" s="239"/>
      <c r="J504" s="210">
        <v>-8677</v>
      </c>
      <c r="K504" s="209">
        <v>0</v>
      </c>
      <c r="L504" s="209">
        <v>-46996.800000000003</v>
      </c>
      <c r="M504" s="209">
        <v>48445.05</v>
      </c>
      <c r="N504" s="242">
        <v>39768.050000000003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-433322.28</v>
      </c>
      <c r="H505" s="239"/>
      <c r="I505" s="239"/>
      <c r="J505" s="210">
        <v>-100002</v>
      </c>
      <c r="K505" s="209">
        <v>0</v>
      </c>
      <c r="L505" s="209">
        <v>-533324.28</v>
      </c>
      <c r="M505" s="209">
        <v>566677.72</v>
      </c>
      <c r="N505" s="242">
        <v>466675.72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-60089.45</v>
      </c>
      <c r="H506" s="239"/>
      <c r="I506" s="239"/>
      <c r="J506" s="210">
        <v>-9243.5499999999993</v>
      </c>
      <c r="K506" s="209">
        <v>0</v>
      </c>
      <c r="L506" s="209">
        <v>-69333</v>
      </c>
      <c r="M506" s="209">
        <v>9243.5499999999993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-112423.43</v>
      </c>
      <c r="H507" s="239"/>
      <c r="I507" s="239"/>
      <c r="J507" s="210">
        <v>-25943</v>
      </c>
      <c r="K507" s="209">
        <v>0</v>
      </c>
      <c r="L507" s="209">
        <v>-138366.43</v>
      </c>
      <c r="M507" s="209">
        <v>147012.57</v>
      </c>
      <c r="N507" s="242">
        <v>121069.57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-95247.73</v>
      </c>
      <c r="H508" s="239"/>
      <c r="I508" s="239"/>
      <c r="J508" s="210">
        <v>-14652.27</v>
      </c>
      <c r="K508" s="209">
        <v>0</v>
      </c>
      <c r="L508" s="209">
        <v>-109900</v>
      </c>
      <c r="M508" s="209">
        <v>14652.27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-99079.55</v>
      </c>
      <c r="H509" s="239"/>
      <c r="I509" s="239"/>
      <c r="J509" s="210">
        <v>-22866</v>
      </c>
      <c r="K509" s="209">
        <v>0</v>
      </c>
      <c r="L509" s="209">
        <v>-121945.55</v>
      </c>
      <c r="M509" s="209">
        <v>129574.45</v>
      </c>
      <c r="N509" s="242">
        <v>106708.45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-112677.72</v>
      </c>
      <c r="H510" s="239"/>
      <c r="I510" s="239"/>
      <c r="J510" s="210">
        <v>-25998</v>
      </c>
      <c r="K510" s="209">
        <v>0</v>
      </c>
      <c r="L510" s="209">
        <v>-138675.72</v>
      </c>
      <c r="M510" s="209">
        <v>147322.28</v>
      </c>
      <c r="N510" s="242">
        <v>121324.28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-167225.75</v>
      </c>
      <c r="H511" s="239"/>
      <c r="I511" s="239"/>
      <c r="J511" s="210">
        <v>-29506.75</v>
      </c>
      <c r="K511" s="209">
        <v>0</v>
      </c>
      <c r="L511" s="209">
        <v>-196732.5</v>
      </c>
      <c r="M511" s="209">
        <v>29506.75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-36273.040000000001</v>
      </c>
      <c r="H512" s="239"/>
      <c r="I512" s="239"/>
      <c r="J512" s="210">
        <v>-6403.88</v>
      </c>
      <c r="K512" s="209">
        <v>0</v>
      </c>
      <c r="L512" s="209">
        <v>-42676.92</v>
      </c>
      <c r="M512" s="209">
        <v>6403.88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-59284.86</v>
      </c>
      <c r="H513" s="239"/>
      <c r="I513" s="239"/>
      <c r="J513" s="210">
        <v>-14226</v>
      </c>
      <c r="K513" s="209">
        <v>0</v>
      </c>
      <c r="L513" s="209">
        <v>-73510.86</v>
      </c>
      <c r="M513" s="209">
        <v>82984.789999999994</v>
      </c>
      <c r="N513" s="242">
        <v>68758.789999999994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-9485.39</v>
      </c>
      <c r="H514" s="239"/>
      <c r="I514" s="239"/>
      <c r="J514" s="210">
        <v>-2286</v>
      </c>
      <c r="K514" s="209">
        <v>0</v>
      </c>
      <c r="L514" s="209">
        <v>-11771.39</v>
      </c>
      <c r="M514" s="209">
        <v>13335.36</v>
      </c>
      <c r="N514" s="242">
        <v>11049.36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-11647.38</v>
      </c>
      <c r="H515" s="239"/>
      <c r="I515" s="239"/>
      <c r="J515" s="210">
        <v>-2809</v>
      </c>
      <c r="K515" s="209">
        <v>0</v>
      </c>
      <c r="L515" s="209">
        <v>-14456.38</v>
      </c>
      <c r="M515" s="209">
        <v>16383.28</v>
      </c>
      <c r="N515" s="242">
        <v>13574.28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-18947.650000000001</v>
      </c>
      <c r="H516" s="239"/>
      <c r="I516" s="239"/>
      <c r="J516" s="210">
        <v>-4576</v>
      </c>
      <c r="K516" s="209">
        <v>0</v>
      </c>
      <c r="L516" s="209">
        <v>-23523.65</v>
      </c>
      <c r="M516" s="209">
        <v>26693.71</v>
      </c>
      <c r="N516" s="242">
        <v>22117.71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-18465.48</v>
      </c>
      <c r="H517" s="239"/>
      <c r="I517" s="239"/>
      <c r="J517" s="210">
        <v>-4434</v>
      </c>
      <c r="K517" s="209">
        <v>0</v>
      </c>
      <c r="L517" s="209">
        <v>-22899.48</v>
      </c>
      <c r="M517" s="209">
        <v>48034.52</v>
      </c>
      <c r="N517" s="242">
        <v>43600.52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-18465.48</v>
      </c>
      <c r="H518" s="239"/>
      <c r="I518" s="239"/>
      <c r="J518" s="210">
        <v>-4434</v>
      </c>
      <c r="K518" s="209">
        <v>0</v>
      </c>
      <c r="L518" s="209">
        <v>-22899.48</v>
      </c>
      <c r="M518" s="209">
        <v>48034.52</v>
      </c>
      <c r="N518" s="242">
        <v>43600.52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-18465.48</v>
      </c>
      <c r="H519" s="239"/>
      <c r="I519" s="239"/>
      <c r="J519" s="210">
        <v>-4434</v>
      </c>
      <c r="K519" s="209">
        <v>0</v>
      </c>
      <c r="L519" s="209">
        <v>-22899.48</v>
      </c>
      <c r="M519" s="209">
        <v>48034.52</v>
      </c>
      <c r="N519" s="242">
        <v>43600.52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-18465.48</v>
      </c>
      <c r="H520" s="239"/>
      <c r="I520" s="239"/>
      <c r="J520" s="210">
        <v>-4434</v>
      </c>
      <c r="K520" s="209">
        <v>0</v>
      </c>
      <c r="L520" s="209">
        <v>-22899.48</v>
      </c>
      <c r="M520" s="209">
        <v>48034.52</v>
      </c>
      <c r="N520" s="242">
        <v>43600.52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-18465.48</v>
      </c>
      <c r="H521" s="239"/>
      <c r="I521" s="239"/>
      <c r="J521" s="210">
        <v>-4434</v>
      </c>
      <c r="K521" s="209">
        <v>0</v>
      </c>
      <c r="L521" s="209">
        <v>-22899.48</v>
      </c>
      <c r="M521" s="209">
        <v>48034.52</v>
      </c>
      <c r="N521" s="242">
        <v>43600.52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-88344.39</v>
      </c>
      <c r="H522" s="239"/>
      <c r="I522" s="239"/>
      <c r="J522" s="210">
        <v>-21199</v>
      </c>
      <c r="K522" s="209">
        <v>0</v>
      </c>
      <c r="L522" s="209">
        <v>-109543.39</v>
      </c>
      <c r="M522" s="209">
        <v>335655.61</v>
      </c>
      <c r="N522" s="242">
        <v>314456.61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-18654.96</v>
      </c>
      <c r="H523" s="239"/>
      <c r="I523" s="239"/>
      <c r="J523" s="210">
        <v>-4566</v>
      </c>
      <c r="K523" s="209">
        <v>0</v>
      </c>
      <c r="L523" s="209">
        <v>-23220.959999999999</v>
      </c>
      <c r="M523" s="209">
        <v>49845.04</v>
      </c>
      <c r="N523" s="242">
        <v>45279.040000000001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-18654.96</v>
      </c>
      <c r="H524" s="239"/>
      <c r="I524" s="239"/>
      <c r="J524" s="210">
        <v>-4566</v>
      </c>
      <c r="K524" s="209">
        <v>0</v>
      </c>
      <c r="L524" s="209">
        <v>-23220.959999999999</v>
      </c>
      <c r="M524" s="209">
        <v>49845.04</v>
      </c>
      <c r="N524" s="242">
        <v>45279.040000000001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-18654.96</v>
      </c>
      <c r="H525" s="239"/>
      <c r="I525" s="239"/>
      <c r="J525" s="210">
        <v>-4566</v>
      </c>
      <c r="K525" s="209">
        <v>0</v>
      </c>
      <c r="L525" s="209">
        <v>-23220.959999999999</v>
      </c>
      <c r="M525" s="209">
        <v>49845.04</v>
      </c>
      <c r="N525" s="242">
        <v>45279.040000000001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-18654.96</v>
      </c>
      <c r="H526" s="239"/>
      <c r="I526" s="239"/>
      <c r="J526" s="210">
        <v>-4566</v>
      </c>
      <c r="K526" s="209">
        <v>0</v>
      </c>
      <c r="L526" s="209">
        <v>-23220.959999999999</v>
      </c>
      <c r="M526" s="209">
        <v>49845.04</v>
      </c>
      <c r="N526" s="242">
        <v>45279.040000000001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-18654.96</v>
      </c>
      <c r="H527" s="239"/>
      <c r="I527" s="239"/>
      <c r="J527" s="210">
        <v>-4566</v>
      </c>
      <c r="K527" s="209">
        <v>0</v>
      </c>
      <c r="L527" s="209">
        <v>-23220.959999999999</v>
      </c>
      <c r="M527" s="209">
        <v>49845.04</v>
      </c>
      <c r="N527" s="242">
        <v>45279.040000000001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-18654.96</v>
      </c>
      <c r="H528" s="239"/>
      <c r="I528" s="239"/>
      <c r="J528" s="210">
        <v>-4566</v>
      </c>
      <c r="K528" s="209">
        <v>0</v>
      </c>
      <c r="L528" s="209">
        <v>-23220.959999999999</v>
      </c>
      <c r="M528" s="209">
        <v>49845.04</v>
      </c>
      <c r="N528" s="242">
        <v>45279.040000000001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-18654.96</v>
      </c>
      <c r="H529" s="239"/>
      <c r="I529" s="239"/>
      <c r="J529" s="210">
        <v>-4566</v>
      </c>
      <c r="K529" s="209">
        <v>0</v>
      </c>
      <c r="L529" s="209">
        <v>-23220.959999999999</v>
      </c>
      <c r="M529" s="209">
        <v>49845.04</v>
      </c>
      <c r="N529" s="242">
        <v>45279.040000000001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-18654.96</v>
      </c>
      <c r="H530" s="239"/>
      <c r="I530" s="239"/>
      <c r="J530" s="210">
        <v>-4566</v>
      </c>
      <c r="K530" s="209">
        <v>0</v>
      </c>
      <c r="L530" s="209">
        <v>-23220.959999999999</v>
      </c>
      <c r="M530" s="209">
        <v>49845.04</v>
      </c>
      <c r="N530" s="242">
        <v>45279.040000000001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-18654.96</v>
      </c>
      <c r="H531" s="239"/>
      <c r="I531" s="239"/>
      <c r="J531" s="210">
        <v>-4566</v>
      </c>
      <c r="K531" s="209">
        <v>0</v>
      </c>
      <c r="L531" s="209">
        <v>-23220.959999999999</v>
      </c>
      <c r="M531" s="209">
        <v>49845.04</v>
      </c>
      <c r="N531" s="242">
        <v>45279.040000000001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-18654.96</v>
      </c>
      <c r="H532" s="239"/>
      <c r="I532" s="239"/>
      <c r="J532" s="210">
        <v>-4566</v>
      </c>
      <c r="K532" s="209">
        <v>0</v>
      </c>
      <c r="L532" s="209">
        <v>-23220.959999999999</v>
      </c>
      <c r="M532" s="209">
        <v>49845.04</v>
      </c>
      <c r="N532" s="242">
        <v>45279.040000000001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-22402.05</v>
      </c>
      <c r="H533" s="239"/>
      <c r="I533" s="239"/>
      <c r="J533" s="210">
        <v>-5597.95</v>
      </c>
      <c r="K533" s="209">
        <v>0</v>
      </c>
      <c r="L533" s="209">
        <v>-28000</v>
      </c>
      <c r="M533" s="209">
        <v>5597.95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-26004.62</v>
      </c>
      <c r="H534" s="239"/>
      <c r="I534" s="239"/>
      <c r="J534" s="210">
        <v>-6642</v>
      </c>
      <c r="K534" s="209">
        <v>0</v>
      </c>
      <c r="L534" s="209">
        <v>-32646.62</v>
      </c>
      <c r="M534" s="209">
        <v>7195.38</v>
      </c>
      <c r="N534" s="242">
        <v>553.38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-156275</v>
      </c>
      <c r="H535" s="239"/>
      <c r="I535" s="239"/>
      <c r="J535" s="210">
        <v>-39900</v>
      </c>
      <c r="K535" s="209">
        <v>0</v>
      </c>
      <c r="L535" s="209">
        <v>-196175</v>
      </c>
      <c r="M535" s="209">
        <v>242725</v>
      </c>
      <c r="N535" s="242">
        <v>202825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-19374.25</v>
      </c>
      <c r="H536" s="239"/>
      <c r="I536" s="239"/>
      <c r="J536" s="210">
        <v>-5058</v>
      </c>
      <c r="K536" s="209">
        <v>0</v>
      </c>
      <c r="L536" s="209">
        <v>-24432.25</v>
      </c>
      <c r="M536" s="209">
        <v>5900.75</v>
      </c>
      <c r="N536" s="242">
        <v>842.75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-58623.16</v>
      </c>
      <c r="H537" s="239"/>
      <c r="I537" s="239"/>
      <c r="J537" s="210">
        <v>-15630</v>
      </c>
      <c r="K537" s="209">
        <v>0</v>
      </c>
      <c r="L537" s="209">
        <v>-74253.16</v>
      </c>
      <c r="M537" s="209">
        <v>19537.84</v>
      </c>
      <c r="N537" s="242">
        <v>3907.84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-56255.3</v>
      </c>
      <c r="H538" s="239"/>
      <c r="I538" s="239"/>
      <c r="J538" s="210">
        <v>-15702</v>
      </c>
      <c r="K538" s="209">
        <v>0</v>
      </c>
      <c r="L538" s="209">
        <v>-71957.3</v>
      </c>
      <c r="M538" s="209">
        <v>22244.7</v>
      </c>
      <c r="N538" s="242">
        <v>6542.7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-55986.99</v>
      </c>
      <c r="H539" s="239"/>
      <c r="I539" s="239"/>
      <c r="J539" s="210">
        <v>-15998</v>
      </c>
      <c r="K539" s="209">
        <v>0</v>
      </c>
      <c r="L539" s="209">
        <v>-71984.990000000005</v>
      </c>
      <c r="M539" s="209">
        <v>103986.21</v>
      </c>
      <c r="N539" s="242">
        <v>87988.21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-15919.53</v>
      </c>
      <c r="H540" s="239"/>
      <c r="I540" s="239"/>
      <c r="J540" s="210">
        <v>-4551</v>
      </c>
      <c r="K540" s="209">
        <v>0</v>
      </c>
      <c r="L540" s="209">
        <v>-20470.53</v>
      </c>
      <c r="M540" s="209">
        <v>29580.47</v>
      </c>
      <c r="N540" s="242">
        <v>25029.47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-26331.03</v>
      </c>
      <c r="H541" s="239"/>
      <c r="I541" s="239"/>
      <c r="J541" s="210">
        <v>-7518</v>
      </c>
      <c r="K541" s="209">
        <v>0</v>
      </c>
      <c r="L541" s="209">
        <v>-33849.03</v>
      </c>
      <c r="M541" s="209">
        <v>48868.97</v>
      </c>
      <c r="N541" s="242">
        <v>41350.97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-48585</v>
      </c>
      <c r="H542" s="239"/>
      <c r="I542" s="239"/>
      <c r="J542" s="210">
        <v>-14220</v>
      </c>
      <c r="K542" s="209">
        <v>0</v>
      </c>
      <c r="L542" s="209">
        <v>-62805</v>
      </c>
      <c r="M542" s="209">
        <v>22515</v>
      </c>
      <c r="N542" s="242">
        <v>8295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-24293</v>
      </c>
      <c r="H543" s="239"/>
      <c r="I543" s="239"/>
      <c r="J543" s="210">
        <v>-7110</v>
      </c>
      <c r="K543" s="209">
        <v>0</v>
      </c>
      <c r="L543" s="209">
        <v>-31403</v>
      </c>
      <c r="M543" s="209">
        <v>11257</v>
      </c>
      <c r="N543" s="242">
        <v>4147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-24293</v>
      </c>
      <c r="H544" s="239"/>
      <c r="I544" s="239"/>
      <c r="J544" s="210">
        <v>-7110</v>
      </c>
      <c r="K544" s="209">
        <v>0</v>
      </c>
      <c r="L544" s="209">
        <v>-31403</v>
      </c>
      <c r="M544" s="209">
        <v>11257</v>
      </c>
      <c r="N544" s="242">
        <v>4147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-26220</v>
      </c>
      <c r="H545" s="239"/>
      <c r="I545" s="239"/>
      <c r="J545" s="210">
        <v>-8280</v>
      </c>
      <c r="K545" s="209">
        <v>0</v>
      </c>
      <c r="L545" s="209">
        <v>-34500</v>
      </c>
      <c r="M545" s="209">
        <v>15180</v>
      </c>
      <c r="N545" s="242">
        <v>6900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-110482.25</v>
      </c>
      <c r="H546" s="239"/>
      <c r="I546" s="239"/>
      <c r="J546" s="210">
        <v>-34890</v>
      </c>
      <c r="K546" s="209">
        <v>0</v>
      </c>
      <c r="L546" s="209">
        <v>-145372.25</v>
      </c>
      <c r="M546" s="209">
        <v>63964.75</v>
      </c>
      <c r="N546" s="242">
        <v>29074.75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-113760</v>
      </c>
      <c r="H586" s="239"/>
      <c r="I586" s="239"/>
      <c r="J586" s="210">
        <v>-37920</v>
      </c>
      <c r="K586" s="209">
        <v>0</v>
      </c>
      <c r="L586" s="209">
        <v>-151680</v>
      </c>
      <c r="M586" s="209">
        <v>75840</v>
      </c>
      <c r="N586" s="242">
        <v>37920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-322427.59000000003</v>
      </c>
      <c r="H587" s="239"/>
      <c r="I587" s="239"/>
      <c r="J587" s="210">
        <v>-110042</v>
      </c>
      <c r="K587" s="209">
        <v>0</v>
      </c>
      <c r="L587" s="209">
        <v>-432469.59</v>
      </c>
      <c r="M587" s="209">
        <v>220083.1</v>
      </c>
      <c r="N587" s="242">
        <v>110041.1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-147606.32</v>
      </c>
      <c r="H588" s="239"/>
      <c r="I588" s="239"/>
      <c r="J588" s="210">
        <v>-49206</v>
      </c>
      <c r="K588" s="209">
        <v>0</v>
      </c>
      <c r="L588" s="209">
        <v>-196812.32</v>
      </c>
      <c r="M588" s="209">
        <v>590472.41</v>
      </c>
      <c r="N588" s="242">
        <v>541266.41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-76931.759999999995</v>
      </c>
      <c r="H589" s="239"/>
      <c r="I589" s="239"/>
      <c r="J589" s="210">
        <v>-25642</v>
      </c>
      <c r="K589" s="209">
        <v>0</v>
      </c>
      <c r="L589" s="209">
        <v>-102573.75999999999</v>
      </c>
      <c r="M589" s="209">
        <v>51283.24</v>
      </c>
      <c r="N589" s="242">
        <v>25641.24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-5285.38</v>
      </c>
      <c r="H590" s="239"/>
      <c r="I590" s="239"/>
      <c r="J590" s="210">
        <v>-1817</v>
      </c>
      <c r="K590" s="209">
        <v>0</v>
      </c>
      <c r="L590" s="209">
        <v>-7102.38</v>
      </c>
      <c r="M590" s="209">
        <v>3785.74</v>
      </c>
      <c r="N590" s="242">
        <v>1968.74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-15469.76</v>
      </c>
      <c r="H591" s="239"/>
      <c r="I591" s="239"/>
      <c r="J591" s="210">
        <v>-5301</v>
      </c>
      <c r="K591" s="209">
        <v>0</v>
      </c>
      <c r="L591" s="209">
        <v>-20770.759999999998</v>
      </c>
      <c r="M591" s="209">
        <v>11043.22</v>
      </c>
      <c r="N591" s="242">
        <v>5742.22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-36241</v>
      </c>
      <c r="H592" s="239"/>
      <c r="I592" s="239"/>
      <c r="J592" s="210">
        <v>-13182</v>
      </c>
      <c r="K592" s="209">
        <v>0</v>
      </c>
      <c r="L592" s="209">
        <v>-49423</v>
      </c>
      <c r="M592" s="209">
        <v>29659</v>
      </c>
      <c r="N592" s="242">
        <v>16477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-21723</v>
      </c>
      <c r="H593" s="239"/>
      <c r="I593" s="239"/>
      <c r="J593" s="210">
        <v>-7902</v>
      </c>
      <c r="K593" s="209">
        <v>0</v>
      </c>
      <c r="L593" s="209">
        <v>-29625</v>
      </c>
      <c r="M593" s="209">
        <v>17779.5</v>
      </c>
      <c r="N593" s="242">
        <v>9877.5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-66990</v>
      </c>
      <c r="H594" s="239"/>
      <c r="I594" s="239"/>
      <c r="J594" s="210">
        <v>-27715</v>
      </c>
      <c r="K594" s="209">
        <v>0</v>
      </c>
      <c r="L594" s="209">
        <v>-94705</v>
      </c>
      <c r="M594" s="209">
        <v>210176</v>
      </c>
      <c r="N594" s="242">
        <v>182461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-39904</v>
      </c>
      <c r="H595" s="239"/>
      <c r="I595" s="239"/>
      <c r="J595" s="210">
        <v>-16506</v>
      </c>
      <c r="K595" s="209">
        <v>0</v>
      </c>
      <c r="L595" s="209">
        <v>-56410</v>
      </c>
      <c r="M595" s="209">
        <v>42641</v>
      </c>
      <c r="N595" s="242">
        <v>26135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-141955</v>
      </c>
      <c r="H596" s="239"/>
      <c r="I596" s="239"/>
      <c r="J596" s="210">
        <v>-58740</v>
      </c>
      <c r="K596" s="209">
        <v>0</v>
      </c>
      <c r="L596" s="209">
        <v>-200695</v>
      </c>
      <c r="M596" s="209">
        <v>445445</v>
      </c>
      <c r="N596" s="242">
        <v>386705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-99272</v>
      </c>
      <c r="H597" s="239"/>
      <c r="I597" s="239"/>
      <c r="J597" s="210">
        <v>-41082</v>
      </c>
      <c r="K597" s="209">
        <v>0</v>
      </c>
      <c r="L597" s="209">
        <v>-140354</v>
      </c>
      <c r="M597" s="209">
        <v>106128</v>
      </c>
      <c r="N597" s="242">
        <v>65046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-25060</v>
      </c>
      <c r="H598" s="239"/>
      <c r="I598" s="239"/>
      <c r="J598" s="210">
        <v>-10745</v>
      </c>
      <c r="K598" s="209">
        <v>0</v>
      </c>
      <c r="L598" s="209">
        <v>-35805</v>
      </c>
      <c r="M598" s="209">
        <v>136097.5</v>
      </c>
      <c r="N598" s="242">
        <v>125352.5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-25060</v>
      </c>
      <c r="H599" s="239"/>
      <c r="I599" s="239"/>
      <c r="J599" s="210">
        <v>-10745</v>
      </c>
      <c r="K599" s="209">
        <v>0</v>
      </c>
      <c r="L599" s="209">
        <v>-35805</v>
      </c>
      <c r="M599" s="209">
        <v>136097.5</v>
      </c>
      <c r="N599" s="242">
        <v>125352.5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-25060</v>
      </c>
      <c r="H600" s="239"/>
      <c r="I600" s="239"/>
      <c r="J600" s="210">
        <v>-10745</v>
      </c>
      <c r="K600" s="209">
        <v>0</v>
      </c>
      <c r="L600" s="209">
        <v>-35805</v>
      </c>
      <c r="M600" s="209">
        <v>136097.5</v>
      </c>
      <c r="N600" s="242">
        <v>125352.5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-25060</v>
      </c>
      <c r="H601" s="239"/>
      <c r="I601" s="239"/>
      <c r="J601" s="210">
        <v>-10745</v>
      </c>
      <c r="K601" s="209">
        <v>0</v>
      </c>
      <c r="L601" s="209">
        <v>-35805</v>
      </c>
      <c r="M601" s="209">
        <v>136097.5</v>
      </c>
      <c r="N601" s="242">
        <v>125352.5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-25060</v>
      </c>
      <c r="H602" s="239"/>
      <c r="I602" s="239"/>
      <c r="J602" s="210">
        <v>-10745</v>
      </c>
      <c r="K602" s="209">
        <v>0</v>
      </c>
      <c r="L602" s="209">
        <v>-35805</v>
      </c>
      <c r="M602" s="209">
        <v>136097.5</v>
      </c>
      <c r="N602" s="242">
        <v>125352.5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-25060</v>
      </c>
      <c r="H603" s="239"/>
      <c r="I603" s="239"/>
      <c r="J603" s="210">
        <v>-10745</v>
      </c>
      <c r="K603" s="209">
        <v>0</v>
      </c>
      <c r="L603" s="209">
        <v>-35805</v>
      </c>
      <c r="M603" s="209">
        <v>136097.5</v>
      </c>
      <c r="N603" s="242">
        <v>125352.5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-25060</v>
      </c>
      <c r="H604" s="239"/>
      <c r="I604" s="239"/>
      <c r="J604" s="210">
        <v>-10745</v>
      </c>
      <c r="K604" s="209">
        <v>0</v>
      </c>
      <c r="L604" s="209">
        <v>-35805</v>
      </c>
      <c r="M604" s="209">
        <v>136097.5</v>
      </c>
      <c r="N604" s="242">
        <v>125352.5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-25060</v>
      </c>
      <c r="H605" s="239"/>
      <c r="I605" s="239"/>
      <c r="J605" s="210">
        <v>-10745</v>
      </c>
      <c r="K605" s="209">
        <v>0</v>
      </c>
      <c r="L605" s="209">
        <v>-35805</v>
      </c>
      <c r="M605" s="209">
        <v>136097.5</v>
      </c>
      <c r="N605" s="242">
        <v>125352.5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-465150</v>
      </c>
      <c r="H606" s="239"/>
      <c r="I606" s="239"/>
      <c r="J606" s="210">
        <v>-214686</v>
      </c>
      <c r="K606" s="209">
        <v>0</v>
      </c>
      <c r="L606" s="209">
        <v>-679836</v>
      </c>
      <c r="M606" s="209">
        <v>2755137.21</v>
      </c>
      <c r="N606" s="242">
        <v>2540451.21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-17628</v>
      </c>
      <c r="H607" s="239"/>
      <c r="I607" s="239"/>
      <c r="J607" s="210">
        <v>-8142</v>
      </c>
      <c r="K607" s="209">
        <v>0</v>
      </c>
      <c r="L607" s="209">
        <v>-25770</v>
      </c>
      <c r="M607" s="209">
        <v>23068</v>
      </c>
      <c r="N607" s="242">
        <v>14926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-36985</v>
      </c>
      <c r="H608" s="239"/>
      <c r="I608" s="239"/>
      <c r="J608" s="210">
        <v>-17754</v>
      </c>
      <c r="K608" s="209">
        <v>0</v>
      </c>
      <c r="L608" s="209">
        <v>-54739</v>
      </c>
      <c r="M608" s="209">
        <v>140552.63</v>
      </c>
      <c r="N608" s="242">
        <v>122798.63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-40000</v>
      </c>
      <c r="H609" s="239"/>
      <c r="I609" s="239"/>
      <c r="J609" s="210">
        <v>-19200</v>
      </c>
      <c r="K609" s="209">
        <v>0</v>
      </c>
      <c r="L609" s="209">
        <v>-59200</v>
      </c>
      <c r="M609" s="209">
        <v>56000</v>
      </c>
      <c r="N609" s="242">
        <v>36800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-57200</v>
      </c>
      <c r="H610" s="239"/>
      <c r="I610" s="239"/>
      <c r="J610" s="210">
        <v>-27461</v>
      </c>
      <c r="K610" s="209">
        <v>0</v>
      </c>
      <c r="L610" s="209">
        <v>-84661</v>
      </c>
      <c r="M610" s="209">
        <v>217400</v>
      </c>
      <c r="N610" s="242">
        <v>189939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-227249</v>
      </c>
      <c r="H611" s="239"/>
      <c r="I611" s="239"/>
      <c r="J611" s="210">
        <v>-109074</v>
      </c>
      <c r="K611" s="209">
        <v>0</v>
      </c>
      <c r="L611" s="209">
        <v>-336323</v>
      </c>
      <c r="M611" s="209">
        <v>318132</v>
      </c>
      <c r="N611" s="242">
        <v>209058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-66860</v>
      </c>
      <c r="H612" s="239"/>
      <c r="I612" s="239"/>
      <c r="J612" s="210">
        <v>-32094</v>
      </c>
      <c r="K612" s="209">
        <v>0</v>
      </c>
      <c r="L612" s="209">
        <v>-98954</v>
      </c>
      <c r="M612" s="209">
        <v>254077.43</v>
      </c>
      <c r="N612" s="242">
        <v>221983.43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-64992</v>
      </c>
      <c r="H613" s="239"/>
      <c r="I613" s="239"/>
      <c r="J613" s="210">
        <v>-32501</v>
      </c>
      <c r="K613" s="209">
        <v>0</v>
      </c>
      <c r="L613" s="209">
        <v>-97493</v>
      </c>
      <c r="M613" s="209">
        <v>260008</v>
      </c>
      <c r="N613" s="242">
        <v>227507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-61994</v>
      </c>
      <c r="H614" s="239"/>
      <c r="I614" s="239"/>
      <c r="J614" s="210">
        <v>-31002</v>
      </c>
      <c r="K614" s="209">
        <v>0</v>
      </c>
      <c r="L614" s="209">
        <v>-92996</v>
      </c>
      <c r="M614" s="209">
        <v>93006</v>
      </c>
      <c r="N614" s="242">
        <v>62004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-30528</v>
      </c>
      <c r="H615" s="239"/>
      <c r="I615" s="239"/>
      <c r="J615" s="210">
        <v>-15268</v>
      </c>
      <c r="K615" s="209">
        <v>0</v>
      </c>
      <c r="L615" s="209">
        <v>-45796</v>
      </c>
      <c r="M615" s="209">
        <v>45802.42</v>
      </c>
      <c r="N615" s="242">
        <v>30534.42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-37006</v>
      </c>
      <c r="H616" s="239"/>
      <c r="I616" s="239"/>
      <c r="J616" s="210">
        <v>-18498</v>
      </c>
      <c r="K616" s="209">
        <v>0</v>
      </c>
      <c r="L616" s="209">
        <v>-55504</v>
      </c>
      <c r="M616" s="209">
        <v>55494</v>
      </c>
      <c r="N616" s="242">
        <v>36996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-22968</v>
      </c>
      <c r="H617" s="239"/>
      <c r="I617" s="239"/>
      <c r="J617" s="210">
        <v>-11488</v>
      </c>
      <c r="K617" s="209">
        <v>0</v>
      </c>
      <c r="L617" s="209">
        <v>-34456</v>
      </c>
      <c r="M617" s="209">
        <v>149343.5</v>
      </c>
      <c r="N617" s="242">
        <v>137855.5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-118968</v>
      </c>
      <c r="H618" s="239"/>
      <c r="I618" s="239"/>
      <c r="J618" s="210">
        <v>-59487</v>
      </c>
      <c r="K618" s="209">
        <v>0</v>
      </c>
      <c r="L618" s="209">
        <v>-178455</v>
      </c>
      <c r="M618" s="209">
        <v>475896</v>
      </c>
      <c r="N618" s="242">
        <v>416409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-20976</v>
      </c>
      <c r="H619" s="239"/>
      <c r="I619" s="239"/>
      <c r="J619" s="210">
        <v>-10493</v>
      </c>
      <c r="K619" s="209">
        <v>0</v>
      </c>
      <c r="L619" s="209">
        <v>-31469</v>
      </c>
      <c r="M619" s="209">
        <v>83939</v>
      </c>
      <c r="N619" s="242">
        <v>73446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-20184</v>
      </c>
      <c r="H620" s="239"/>
      <c r="I620" s="239"/>
      <c r="J620" s="210">
        <v>-10089</v>
      </c>
      <c r="K620" s="209">
        <v>0</v>
      </c>
      <c r="L620" s="209">
        <v>-30273</v>
      </c>
      <c r="M620" s="209">
        <v>80717</v>
      </c>
      <c r="N620" s="242">
        <v>70628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-70080</v>
      </c>
      <c r="H621" s="239"/>
      <c r="I621" s="239"/>
      <c r="J621" s="210">
        <v>-35040</v>
      </c>
      <c r="K621" s="209">
        <v>0</v>
      </c>
      <c r="L621" s="209">
        <v>-105120</v>
      </c>
      <c r="M621" s="209">
        <v>455520</v>
      </c>
      <c r="N621" s="242">
        <v>420480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-542537</v>
      </c>
      <c r="H622" s="239"/>
      <c r="I622" s="239"/>
      <c r="J622" s="210">
        <v>-271266</v>
      </c>
      <c r="K622" s="209">
        <v>0</v>
      </c>
      <c r="L622" s="209">
        <v>-813803</v>
      </c>
      <c r="M622" s="209">
        <v>2170128.38</v>
      </c>
      <c r="N622" s="242">
        <v>1898862.38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-35637</v>
      </c>
      <c r="H623" s="239"/>
      <c r="I623" s="239"/>
      <c r="J623" s="210">
        <v>-20367</v>
      </c>
      <c r="K623" s="209">
        <v>0</v>
      </c>
      <c r="L623" s="209">
        <v>-56004</v>
      </c>
      <c r="M623" s="209">
        <v>168024.55</v>
      </c>
      <c r="N623" s="242">
        <v>147657.54999999999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-116529</v>
      </c>
      <c r="H624" s="239"/>
      <c r="I624" s="239"/>
      <c r="J624" s="210">
        <v>-66592</v>
      </c>
      <c r="K624" s="209">
        <v>0</v>
      </c>
      <c r="L624" s="209">
        <v>-183121</v>
      </c>
      <c r="M624" s="209">
        <v>882341.5</v>
      </c>
      <c r="N624" s="242">
        <v>815749.5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-30360</v>
      </c>
      <c r="H625" s="239"/>
      <c r="I625" s="239"/>
      <c r="J625" s="210">
        <v>-18219</v>
      </c>
      <c r="K625" s="209">
        <v>0</v>
      </c>
      <c r="L625" s="209">
        <v>-48579</v>
      </c>
      <c r="M625" s="209">
        <v>60730</v>
      </c>
      <c r="N625" s="242">
        <v>42511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-105000</v>
      </c>
      <c r="H626" s="239"/>
      <c r="I626" s="239"/>
      <c r="J626" s="210">
        <v>-63000</v>
      </c>
      <c r="K626" s="209">
        <v>0</v>
      </c>
      <c r="L626" s="209">
        <v>-168000</v>
      </c>
      <c r="M626" s="209">
        <v>210000</v>
      </c>
      <c r="N626" s="242">
        <v>147000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-51926</v>
      </c>
      <c r="H627" s="239"/>
      <c r="I627" s="239"/>
      <c r="J627" s="210">
        <v>-44512</v>
      </c>
      <c r="K627" s="209">
        <v>0</v>
      </c>
      <c r="L627" s="209">
        <v>-96438</v>
      </c>
      <c r="M627" s="209">
        <v>615742</v>
      </c>
      <c r="N627" s="242">
        <v>571230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-63112</v>
      </c>
      <c r="H628" s="239"/>
      <c r="I628" s="239"/>
      <c r="J628" s="210">
        <v>-54096</v>
      </c>
      <c r="K628" s="209">
        <v>0</v>
      </c>
      <c r="L628" s="209">
        <v>-117208</v>
      </c>
      <c r="M628" s="209">
        <v>748330.7</v>
      </c>
      <c r="N628" s="242">
        <v>694234.7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-9535</v>
      </c>
      <c r="H629" s="239"/>
      <c r="I629" s="239"/>
      <c r="J629" s="210">
        <v>-8178</v>
      </c>
      <c r="K629" s="209">
        <v>0</v>
      </c>
      <c r="L629" s="209">
        <v>-17713</v>
      </c>
      <c r="M629" s="209">
        <v>31349</v>
      </c>
      <c r="N629" s="242">
        <v>23171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-7254</v>
      </c>
      <c r="H630" s="239"/>
      <c r="I630" s="239"/>
      <c r="J630" s="210">
        <v>-6696</v>
      </c>
      <c r="K630" s="209">
        <v>0</v>
      </c>
      <c r="L630" s="209">
        <v>-13950</v>
      </c>
      <c r="M630" s="209">
        <v>26226</v>
      </c>
      <c r="N630" s="242">
        <v>19530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-12706</v>
      </c>
      <c r="H631" s="239"/>
      <c r="I631" s="239"/>
      <c r="J631" s="210">
        <v>-11730</v>
      </c>
      <c r="K631" s="209">
        <v>0</v>
      </c>
      <c r="L631" s="209">
        <v>-24436</v>
      </c>
      <c r="M631" s="209">
        <v>45942.75</v>
      </c>
      <c r="N631" s="242">
        <v>34212.75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-24037</v>
      </c>
      <c r="H632" s="239"/>
      <c r="I632" s="239"/>
      <c r="J632" s="210">
        <v>-22189</v>
      </c>
      <c r="K632" s="209">
        <v>0</v>
      </c>
      <c r="L632" s="209">
        <v>-46226</v>
      </c>
      <c r="M632" s="209">
        <v>308792.59999999998</v>
      </c>
      <c r="N632" s="242">
        <v>286603.59999999998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-151840</v>
      </c>
      <c r="H633" s="239"/>
      <c r="I633" s="239"/>
      <c r="J633" s="210">
        <v>-140154</v>
      </c>
      <c r="K633" s="209">
        <v>0</v>
      </c>
      <c r="L633" s="209">
        <v>-291994</v>
      </c>
      <c r="M633" s="209">
        <v>1950487</v>
      </c>
      <c r="N633" s="242">
        <v>1810333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-59007</v>
      </c>
      <c r="H634" s="239"/>
      <c r="I634" s="239"/>
      <c r="J634" s="210">
        <v>-54462</v>
      </c>
      <c r="K634" s="209">
        <v>0</v>
      </c>
      <c r="L634" s="209">
        <v>-113469</v>
      </c>
      <c r="M634" s="209">
        <v>757930</v>
      </c>
      <c r="N634" s="242">
        <v>703468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-36803</v>
      </c>
      <c r="H635" s="239"/>
      <c r="I635" s="239"/>
      <c r="J635" s="210">
        <v>-33974</v>
      </c>
      <c r="K635" s="209">
        <v>0</v>
      </c>
      <c r="L635" s="209">
        <v>-70777</v>
      </c>
      <c r="M635" s="209">
        <v>472805</v>
      </c>
      <c r="N635" s="242">
        <v>438831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-30264</v>
      </c>
      <c r="H636" s="239"/>
      <c r="I636" s="239"/>
      <c r="J636" s="210">
        <v>-27934</v>
      </c>
      <c r="K636" s="209">
        <v>0</v>
      </c>
      <c r="L636" s="209">
        <v>-58198</v>
      </c>
      <c r="M636" s="209">
        <v>388751.67</v>
      </c>
      <c r="N636" s="242">
        <v>360817.67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-29601</v>
      </c>
      <c r="H637" s="239"/>
      <c r="I637" s="239"/>
      <c r="J637" s="210">
        <v>-27325</v>
      </c>
      <c r="K637" s="209">
        <v>0</v>
      </c>
      <c r="L637" s="209">
        <v>-56926</v>
      </c>
      <c r="M637" s="209">
        <v>107023.75</v>
      </c>
      <c r="N637" s="242">
        <v>79698.75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-32388</v>
      </c>
      <c r="H638" s="239"/>
      <c r="I638" s="239"/>
      <c r="J638" s="210">
        <v>-32391</v>
      </c>
      <c r="K638" s="209">
        <v>0</v>
      </c>
      <c r="L638" s="209">
        <v>-64779</v>
      </c>
      <c r="M638" s="209">
        <v>291516</v>
      </c>
      <c r="N638" s="242">
        <v>259125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-131328</v>
      </c>
      <c r="H639" s="239"/>
      <c r="I639" s="239"/>
      <c r="J639" s="210">
        <v>-131334</v>
      </c>
      <c r="K639" s="209">
        <v>0</v>
      </c>
      <c r="L639" s="209">
        <v>-262662</v>
      </c>
      <c r="M639" s="209">
        <v>1182006.25</v>
      </c>
      <c r="N639" s="242">
        <v>1050672.25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-15480</v>
      </c>
      <c r="H640" s="239"/>
      <c r="I640" s="239"/>
      <c r="J640" s="210">
        <v>-15484</v>
      </c>
      <c r="K640" s="209">
        <v>0</v>
      </c>
      <c r="L640" s="209">
        <v>-30964</v>
      </c>
      <c r="M640" s="209">
        <v>61934.43</v>
      </c>
      <c r="N640" s="242">
        <v>46450.43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-27780</v>
      </c>
      <c r="H641" s="239"/>
      <c r="I641" s="239"/>
      <c r="J641" s="210">
        <v>-27782</v>
      </c>
      <c r="K641" s="209">
        <v>0</v>
      </c>
      <c r="L641" s="209">
        <v>-55562</v>
      </c>
      <c r="M641" s="209">
        <v>250034.5</v>
      </c>
      <c r="N641" s="242">
        <v>222252.5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-7752</v>
      </c>
      <c r="H642" s="239"/>
      <c r="I642" s="239"/>
      <c r="J642" s="210">
        <v>-7753</v>
      </c>
      <c r="K642" s="209">
        <v>0</v>
      </c>
      <c r="L642" s="209">
        <v>-15505</v>
      </c>
      <c r="M642" s="209">
        <v>69779.179999999993</v>
      </c>
      <c r="N642" s="242">
        <v>62026.18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-3840</v>
      </c>
      <c r="H643" s="239"/>
      <c r="I643" s="239"/>
      <c r="J643" s="210">
        <v>-3838</v>
      </c>
      <c r="K643" s="209">
        <v>0</v>
      </c>
      <c r="L643" s="209">
        <v>-7678</v>
      </c>
      <c r="M643" s="209">
        <v>34543.25</v>
      </c>
      <c r="N643" s="242">
        <v>30705.25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-25050</v>
      </c>
      <c r="H644" s="239"/>
      <c r="I644" s="239"/>
      <c r="J644" s="210">
        <v>-30061</v>
      </c>
      <c r="K644" s="209">
        <v>0</v>
      </c>
      <c r="L644" s="209">
        <v>-55111</v>
      </c>
      <c r="M644" s="209">
        <v>125255.8</v>
      </c>
      <c r="N644" s="242">
        <v>95194.8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-29853</v>
      </c>
      <c r="H645" s="239"/>
      <c r="I645" s="239"/>
      <c r="J645" s="210">
        <v>-39799</v>
      </c>
      <c r="K645" s="209">
        <v>0</v>
      </c>
      <c r="L645" s="209">
        <v>-69652</v>
      </c>
      <c r="M645" s="209">
        <v>169147</v>
      </c>
      <c r="N645" s="242">
        <v>129348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-15561</v>
      </c>
      <c r="H646" s="239"/>
      <c r="I646" s="239"/>
      <c r="J646" s="210">
        <v>-20742</v>
      </c>
      <c r="K646" s="209">
        <v>0</v>
      </c>
      <c r="L646" s="209">
        <v>-36303</v>
      </c>
      <c r="M646" s="209">
        <v>88154.62</v>
      </c>
      <c r="N646" s="242">
        <v>67412.62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-35163</v>
      </c>
      <c r="H647" s="239"/>
      <c r="I647" s="239"/>
      <c r="J647" s="210">
        <v>-46882</v>
      </c>
      <c r="K647" s="209">
        <v>0</v>
      </c>
      <c r="L647" s="209">
        <v>-82045</v>
      </c>
      <c r="M647" s="209">
        <v>433661</v>
      </c>
      <c r="N647" s="242">
        <v>386779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-2678</v>
      </c>
      <c r="H648" s="239"/>
      <c r="I648" s="239"/>
      <c r="J648" s="210">
        <v>-3570</v>
      </c>
      <c r="K648" s="209">
        <v>0</v>
      </c>
      <c r="L648" s="209">
        <v>-6248</v>
      </c>
      <c r="M648" s="209">
        <v>33022</v>
      </c>
      <c r="N648" s="242">
        <v>29452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-11880</v>
      </c>
      <c r="H649" s="239"/>
      <c r="I649" s="239"/>
      <c r="J649" s="210">
        <v>-15840</v>
      </c>
      <c r="K649" s="209">
        <v>0</v>
      </c>
      <c r="L649" s="209">
        <v>-27720</v>
      </c>
      <c r="M649" s="209">
        <v>146520</v>
      </c>
      <c r="N649" s="242">
        <v>130680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-7497</v>
      </c>
      <c r="H650" s="239"/>
      <c r="I650" s="239"/>
      <c r="J650" s="210">
        <v>-10001</v>
      </c>
      <c r="K650" s="209">
        <v>0</v>
      </c>
      <c r="L650" s="209">
        <v>-17498</v>
      </c>
      <c r="M650" s="209">
        <v>142503</v>
      </c>
      <c r="N650" s="242">
        <v>132502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-44910</v>
      </c>
      <c r="H651" s="239"/>
      <c r="I651" s="239"/>
      <c r="J651" s="210">
        <v>-59874</v>
      </c>
      <c r="K651" s="209">
        <v>0</v>
      </c>
      <c r="L651" s="209">
        <v>-104784</v>
      </c>
      <c r="M651" s="209">
        <v>553836.98</v>
      </c>
      <c r="N651" s="242">
        <v>493962.98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-24962</v>
      </c>
      <c r="H652" s="239"/>
      <c r="I652" s="239"/>
      <c r="J652" s="210">
        <v>-42797</v>
      </c>
      <c r="K652" s="209">
        <v>0</v>
      </c>
      <c r="L652" s="209">
        <v>-67759</v>
      </c>
      <c r="M652" s="209">
        <v>402998</v>
      </c>
      <c r="N652" s="242">
        <v>360201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-55958</v>
      </c>
      <c r="H653" s="239"/>
      <c r="I653" s="239"/>
      <c r="J653" s="210">
        <v>-95922</v>
      </c>
      <c r="K653" s="209">
        <v>0</v>
      </c>
      <c r="L653" s="209">
        <v>-151880</v>
      </c>
      <c r="M653" s="209">
        <v>423656.85</v>
      </c>
      <c r="N653" s="242">
        <v>327734.84999999998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-13998</v>
      </c>
      <c r="H654" s="239"/>
      <c r="I654" s="239"/>
      <c r="J654" s="210">
        <v>-28000</v>
      </c>
      <c r="K654" s="209">
        <v>0</v>
      </c>
      <c r="L654" s="209">
        <v>-41998</v>
      </c>
      <c r="M654" s="209">
        <v>406002</v>
      </c>
      <c r="N654" s="242">
        <v>378002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-22773</v>
      </c>
      <c r="H655" s="239"/>
      <c r="I655" s="239"/>
      <c r="J655" s="210">
        <v>-91090</v>
      </c>
      <c r="K655" s="209">
        <v>0</v>
      </c>
      <c r="L655" s="209">
        <v>-113863</v>
      </c>
      <c r="M655" s="209">
        <v>432676</v>
      </c>
      <c r="N655" s="242">
        <v>341586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-9294</v>
      </c>
      <c r="H656" s="239"/>
      <c r="I656" s="239"/>
      <c r="J656" s="210">
        <v>-37177</v>
      </c>
      <c r="K656" s="209">
        <v>0</v>
      </c>
      <c r="L656" s="209">
        <v>-46471</v>
      </c>
      <c r="M656" s="209">
        <v>176591</v>
      </c>
      <c r="N656" s="242">
        <v>139414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-16881</v>
      </c>
      <c r="H657" s="239"/>
      <c r="I657" s="239"/>
      <c r="J657" s="210">
        <v>-67525</v>
      </c>
      <c r="K657" s="209">
        <v>0</v>
      </c>
      <c r="L657" s="209">
        <v>-84406</v>
      </c>
      <c r="M657" s="209">
        <v>658366.9</v>
      </c>
      <c r="N657" s="242">
        <v>590841.9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-4269</v>
      </c>
      <c r="H658" s="239"/>
      <c r="I658" s="239"/>
      <c r="J658" s="210">
        <v>-17080</v>
      </c>
      <c r="K658" s="209">
        <v>0</v>
      </c>
      <c r="L658" s="209">
        <v>-21349</v>
      </c>
      <c r="M658" s="209">
        <v>81131</v>
      </c>
      <c r="N658" s="242">
        <v>64051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-5562</v>
      </c>
      <c r="H659" s="239"/>
      <c r="I659" s="239"/>
      <c r="J659" s="210">
        <v>-22243</v>
      </c>
      <c r="K659" s="209">
        <v>0</v>
      </c>
      <c r="L659" s="209">
        <v>-27805</v>
      </c>
      <c r="M659" s="209">
        <v>105656.45</v>
      </c>
      <c r="N659" s="242">
        <v>83413.45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-5164</v>
      </c>
      <c r="H660" s="239"/>
      <c r="I660" s="239"/>
      <c r="J660" s="210">
        <v>-30985</v>
      </c>
      <c r="K660" s="209">
        <v>0</v>
      </c>
      <c r="L660" s="209">
        <v>-36149</v>
      </c>
      <c r="M660" s="209">
        <v>304689.21000000002</v>
      </c>
      <c r="N660" s="242">
        <v>273704.21000000002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-4222</v>
      </c>
      <c r="H661" s="239"/>
      <c r="I661" s="239"/>
      <c r="J661" s="210">
        <v>-25336</v>
      </c>
      <c r="K661" s="209">
        <v>0</v>
      </c>
      <c r="L661" s="209">
        <v>-29558</v>
      </c>
      <c r="M661" s="209">
        <v>249133.85</v>
      </c>
      <c r="N661" s="242">
        <v>223797.85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-602386.16</v>
      </c>
      <c r="H702" s="239"/>
      <c r="I702" s="239"/>
      <c r="J702" s="210">
        <v>-49527.76</v>
      </c>
      <c r="K702" s="209">
        <v>0</v>
      </c>
      <c r="L702" s="209">
        <v>-651913.92000000004</v>
      </c>
      <c r="M702" s="209">
        <v>49527.76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-3012918.44</v>
      </c>
      <c r="H743" s="239"/>
      <c r="I743" s="239"/>
      <c r="J743" s="210">
        <v>-247701</v>
      </c>
      <c r="K743" s="209">
        <v>0</v>
      </c>
      <c r="L743" s="209">
        <v>-3260619.44</v>
      </c>
      <c r="M743" s="209">
        <v>990805.06</v>
      </c>
      <c r="N743" s="242">
        <v>743104.06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-1174619.52</v>
      </c>
      <c r="H769" s="239"/>
      <c r="I769" s="239"/>
      <c r="J769" s="210">
        <v>-96570</v>
      </c>
      <c r="K769" s="209">
        <v>0</v>
      </c>
      <c r="L769" s="209">
        <v>-1271189.52</v>
      </c>
      <c r="M769" s="209">
        <v>675989.72</v>
      </c>
      <c r="N769" s="242">
        <v>579419.72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-2206730.39</v>
      </c>
      <c r="H798" s="239"/>
      <c r="I798" s="239"/>
      <c r="J798" s="210">
        <v>-200610</v>
      </c>
      <c r="K798" s="209">
        <v>0</v>
      </c>
      <c r="L798" s="209">
        <v>-2407340.39</v>
      </c>
      <c r="M798" s="209">
        <v>802439.61</v>
      </c>
      <c r="N798" s="242">
        <v>601829.61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-53235</v>
      </c>
      <c r="H817" s="239"/>
      <c r="I817" s="239"/>
      <c r="J817" s="210">
        <v>-1365</v>
      </c>
      <c r="K817" s="209">
        <v>0</v>
      </c>
      <c r="L817" s="209">
        <v>-54600</v>
      </c>
      <c r="M817" s="209">
        <v>1365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-191898.94</v>
      </c>
      <c r="H823" s="239"/>
      <c r="I823" s="239"/>
      <c r="J823" s="210">
        <v>-10101.06</v>
      </c>
      <c r="K823" s="209">
        <v>0</v>
      </c>
      <c r="L823" s="209">
        <v>-202000</v>
      </c>
      <c r="M823" s="209">
        <v>10101.06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-376200</v>
      </c>
      <c r="H824" s="239"/>
      <c r="I824" s="239"/>
      <c r="J824" s="210">
        <v>-19800</v>
      </c>
      <c r="K824" s="209">
        <v>0</v>
      </c>
      <c r="L824" s="209">
        <v>-396000</v>
      </c>
      <c r="M824" s="209">
        <v>19800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-733590.5</v>
      </c>
      <c r="H831" s="239"/>
      <c r="I831" s="239"/>
      <c r="J831" s="210">
        <v>-66691.5</v>
      </c>
      <c r="K831" s="209">
        <v>0</v>
      </c>
      <c r="L831" s="209">
        <v>-800282</v>
      </c>
      <c r="M831" s="209">
        <v>66691.5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-224853</v>
      </c>
      <c r="H837" s="239"/>
      <c r="I837" s="239"/>
      <c r="J837" s="210">
        <v>-24982</v>
      </c>
      <c r="K837" s="209">
        <v>0</v>
      </c>
      <c r="L837" s="209">
        <v>-249835</v>
      </c>
      <c r="M837" s="209">
        <v>24982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-124200</v>
      </c>
      <c r="H840" s="239"/>
      <c r="I840" s="239"/>
      <c r="J840" s="210">
        <v>-13800</v>
      </c>
      <c r="K840" s="209">
        <v>0</v>
      </c>
      <c r="L840" s="209">
        <v>-138000</v>
      </c>
      <c r="M840" s="209">
        <v>13800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-124200</v>
      </c>
      <c r="H841" s="239"/>
      <c r="I841" s="239"/>
      <c r="J841" s="210">
        <v>-13800</v>
      </c>
      <c r="K841" s="209">
        <v>0</v>
      </c>
      <c r="L841" s="209">
        <v>-138000</v>
      </c>
      <c r="M841" s="209">
        <v>13800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-753117.93</v>
      </c>
      <c r="H843" s="239"/>
      <c r="I843" s="239"/>
      <c r="J843" s="210">
        <v>-83682</v>
      </c>
      <c r="K843" s="209">
        <v>0</v>
      </c>
      <c r="L843" s="209">
        <v>-836799.93</v>
      </c>
      <c r="M843" s="209">
        <v>83682.070000000007</v>
      </c>
      <c r="N843" s="242">
        <v>7.0000000000000007E-2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-44851.4</v>
      </c>
      <c r="H846" s="239"/>
      <c r="I846" s="239"/>
      <c r="J846" s="210">
        <v>-5130</v>
      </c>
      <c r="K846" s="209">
        <v>0</v>
      </c>
      <c r="L846" s="209">
        <v>-49981.4</v>
      </c>
      <c r="M846" s="209">
        <v>6412.6</v>
      </c>
      <c r="N846" s="242">
        <v>1282.5999999999999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-364156</v>
      </c>
      <c r="H850" s="239"/>
      <c r="I850" s="239"/>
      <c r="J850" s="210">
        <v>-43266</v>
      </c>
      <c r="K850" s="209">
        <v>0</v>
      </c>
      <c r="L850" s="209">
        <v>-407422</v>
      </c>
      <c r="M850" s="209">
        <v>68504</v>
      </c>
      <c r="N850" s="242">
        <v>25238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-6491259.9100000001</v>
      </c>
      <c r="H860" s="239"/>
      <c r="I860" s="239"/>
      <c r="J860" s="210">
        <v>-811410</v>
      </c>
      <c r="K860" s="209">
        <v>0</v>
      </c>
      <c r="L860" s="209">
        <v>-7302669.9100000001</v>
      </c>
      <c r="M860" s="209">
        <v>1622820.09</v>
      </c>
      <c r="N860" s="242">
        <v>811410.09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-758986.91</v>
      </c>
      <c r="H861" s="239"/>
      <c r="I861" s="239"/>
      <c r="J861" s="210">
        <v>-94877</v>
      </c>
      <c r="K861" s="209">
        <v>0</v>
      </c>
      <c r="L861" s="209">
        <v>-853863.91</v>
      </c>
      <c r="M861" s="209">
        <v>189753.97</v>
      </c>
      <c r="N861" s="242">
        <v>94876.97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-84134169.120000005</v>
      </c>
      <c r="H862" s="244"/>
      <c r="I862" s="244"/>
      <c r="J862" s="208">
        <v>-7753539.8700000001</v>
      </c>
      <c r="K862" s="207">
        <v>0</v>
      </c>
      <c r="L862" s="207">
        <v>-91887708.989999995</v>
      </c>
      <c r="M862" s="207">
        <v>49834905.810000002</v>
      </c>
      <c r="N862" s="245">
        <v>42081365.939999998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-206502216.28</v>
      </c>
      <c r="H871" s="239"/>
      <c r="I871" s="239"/>
      <c r="J871" s="202">
        <v>-16847092.600000001</v>
      </c>
      <c r="K871" s="201">
        <v>0</v>
      </c>
      <c r="L871" s="201">
        <v>-223349308.88</v>
      </c>
      <c r="M871" s="201">
        <v>79323509.950000003</v>
      </c>
      <c r="N871" s="253">
        <v>62476417.350000001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8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2E3F-C320-49A3-871F-BDA58D4D50C4}">
  <dimension ref="A1:O872"/>
  <sheetViews>
    <sheetView showGridLines="0" workbookViewId="0">
      <pane ySplit="15" topLeftCell="A851" activePane="bottomLeft" state="frozen"/>
      <selection pane="bottomLeft" activeCell="N20" sqref="N20:O20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1804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164</v>
      </c>
      <c r="D14" s="212" t="s">
        <v>162</v>
      </c>
      <c r="E14" s="212" t="s">
        <v>163</v>
      </c>
      <c r="F14" s="212" t="s">
        <v>1805</v>
      </c>
      <c r="G14" s="251" t="s">
        <v>168</v>
      </c>
      <c r="H14" s="239"/>
      <c r="I14" s="239"/>
      <c r="J14" s="213" t="s">
        <v>166</v>
      </c>
      <c r="K14" s="212" t="s">
        <v>167</v>
      </c>
      <c r="L14" s="212" t="s">
        <v>1806</v>
      </c>
      <c r="M14" s="212" t="s">
        <v>170</v>
      </c>
      <c r="N14" s="251" t="s">
        <v>1807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-1622080.11</v>
      </c>
      <c r="H18" s="239"/>
      <c r="I18" s="239"/>
      <c r="J18" s="210">
        <v>-76334</v>
      </c>
      <c r="K18" s="209">
        <v>0</v>
      </c>
      <c r="L18" s="209">
        <v>-1698414.11</v>
      </c>
      <c r="M18" s="209">
        <v>667919.89</v>
      </c>
      <c r="N18" s="242">
        <v>591585.89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-836103.39</v>
      </c>
      <c r="H19" s="239"/>
      <c r="I19" s="239"/>
      <c r="J19" s="210">
        <v>-46448</v>
      </c>
      <c r="K19" s="209">
        <v>0</v>
      </c>
      <c r="L19" s="209">
        <v>-882551.39</v>
      </c>
      <c r="M19" s="209">
        <v>92896.61</v>
      </c>
      <c r="N19" s="242">
        <v>46448.61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-206995.89</v>
      </c>
      <c r="H20" s="239"/>
      <c r="I20" s="239"/>
      <c r="J20" s="210">
        <v>-11502</v>
      </c>
      <c r="K20" s="209">
        <v>0</v>
      </c>
      <c r="L20" s="209">
        <v>-218497.89</v>
      </c>
      <c r="M20" s="209">
        <v>23004.11</v>
      </c>
      <c r="N20" s="242">
        <v>11502.11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-872100.5</v>
      </c>
      <c r="H21" s="239"/>
      <c r="I21" s="239"/>
      <c r="J21" s="210">
        <v>-48450</v>
      </c>
      <c r="K21" s="209">
        <v>0</v>
      </c>
      <c r="L21" s="209">
        <v>-920550.5</v>
      </c>
      <c r="M21" s="209">
        <v>96899.5</v>
      </c>
      <c r="N21" s="242">
        <v>48449.5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-3537279.89</v>
      </c>
      <c r="H22" s="244"/>
      <c r="I22" s="244"/>
      <c r="J22" s="208">
        <v>-182734</v>
      </c>
      <c r="K22" s="207">
        <v>0</v>
      </c>
      <c r="L22" s="207">
        <v>-3720013.89</v>
      </c>
      <c r="M22" s="207">
        <v>880720.11</v>
      </c>
      <c r="N22" s="245">
        <v>697986.11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-6057700.5</v>
      </c>
      <c r="H36" s="239"/>
      <c r="I36" s="239"/>
      <c r="J36" s="210">
        <v>-550699.5</v>
      </c>
      <c r="K36" s="209">
        <v>0</v>
      </c>
      <c r="L36" s="209">
        <v>-6608400</v>
      </c>
      <c r="M36" s="209">
        <v>550699.5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-6989622.6299999999</v>
      </c>
      <c r="H37" s="239"/>
      <c r="I37" s="239"/>
      <c r="J37" s="210">
        <v>-148715.37</v>
      </c>
      <c r="K37" s="209">
        <v>0</v>
      </c>
      <c r="L37" s="209">
        <v>-7138338</v>
      </c>
      <c r="M37" s="209">
        <v>148715.37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-1566743.68</v>
      </c>
      <c r="H38" s="239"/>
      <c r="I38" s="239"/>
      <c r="J38" s="210">
        <v>-162076.32</v>
      </c>
      <c r="K38" s="209">
        <v>0</v>
      </c>
      <c r="L38" s="209">
        <v>-1728820</v>
      </c>
      <c r="M38" s="209">
        <v>162076.32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-1566743.68</v>
      </c>
      <c r="H39" s="239"/>
      <c r="I39" s="239"/>
      <c r="J39" s="210">
        <v>-162076.32</v>
      </c>
      <c r="K39" s="209">
        <v>0</v>
      </c>
      <c r="L39" s="209">
        <v>-1728820</v>
      </c>
      <c r="M39" s="209">
        <v>162076.32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-1566743.68</v>
      </c>
      <c r="H40" s="239"/>
      <c r="I40" s="239"/>
      <c r="J40" s="210">
        <v>-162076.32</v>
      </c>
      <c r="K40" s="209">
        <v>0</v>
      </c>
      <c r="L40" s="209">
        <v>-1728820</v>
      </c>
      <c r="M40" s="209">
        <v>162076.32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-590861.85</v>
      </c>
      <c r="H42" s="239"/>
      <c r="I42" s="239"/>
      <c r="J42" s="210">
        <v>-98730</v>
      </c>
      <c r="K42" s="209">
        <v>0</v>
      </c>
      <c r="L42" s="209">
        <v>-689591.85</v>
      </c>
      <c r="M42" s="209">
        <v>394920.46</v>
      </c>
      <c r="N42" s="242">
        <v>296190.46000000002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-1012022.64</v>
      </c>
      <c r="H44" s="239"/>
      <c r="I44" s="239"/>
      <c r="J44" s="210">
        <v>-195874</v>
      </c>
      <c r="K44" s="209">
        <v>0</v>
      </c>
      <c r="L44" s="209">
        <v>-1207896.6399999999</v>
      </c>
      <c r="M44" s="209">
        <v>554977.36</v>
      </c>
      <c r="N44" s="242">
        <v>359103.36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-815870.86</v>
      </c>
      <c r="H45" s="239"/>
      <c r="I45" s="239"/>
      <c r="J45" s="210">
        <v>-158286</v>
      </c>
      <c r="K45" s="209">
        <v>0</v>
      </c>
      <c r="L45" s="209">
        <v>-974156.86</v>
      </c>
      <c r="M45" s="209">
        <v>448477.08</v>
      </c>
      <c r="N45" s="242">
        <v>290191.08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-995699.72</v>
      </c>
      <c r="H47" s="239"/>
      <c r="I47" s="239"/>
      <c r="J47" s="210">
        <v>-195875</v>
      </c>
      <c r="K47" s="209">
        <v>0</v>
      </c>
      <c r="L47" s="209">
        <v>-1191574.72</v>
      </c>
      <c r="M47" s="209">
        <v>571300.28</v>
      </c>
      <c r="N47" s="242">
        <v>375425.28000000003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-665729.14</v>
      </c>
      <c r="H48" s="239"/>
      <c r="I48" s="239"/>
      <c r="J48" s="210">
        <v>-84494.86</v>
      </c>
      <c r="K48" s="209">
        <v>0</v>
      </c>
      <c r="L48" s="209">
        <v>-750224</v>
      </c>
      <c r="M48" s="209">
        <v>84494.86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-528767.06000000006</v>
      </c>
      <c r="H49" s="239"/>
      <c r="I49" s="239"/>
      <c r="J49" s="210">
        <v>-68502</v>
      </c>
      <c r="K49" s="209">
        <v>0</v>
      </c>
      <c r="L49" s="209">
        <v>-597269.06000000006</v>
      </c>
      <c r="M49" s="209">
        <v>125586.94</v>
      </c>
      <c r="N49" s="242">
        <v>57084.94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-528767.06000000006</v>
      </c>
      <c r="H51" s="239"/>
      <c r="I51" s="239"/>
      <c r="J51" s="210">
        <v>-68502</v>
      </c>
      <c r="K51" s="209">
        <v>0</v>
      </c>
      <c r="L51" s="209">
        <v>-597269.06000000006</v>
      </c>
      <c r="M51" s="209">
        <v>125586.94</v>
      </c>
      <c r="N51" s="242">
        <v>57084.94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-528767.06000000006</v>
      </c>
      <c r="H52" s="239"/>
      <c r="I52" s="239"/>
      <c r="J52" s="210">
        <v>-68502</v>
      </c>
      <c r="K52" s="209">
        <v>0</v>
      </c>
      <c r="L52" s="209">
        <v>-597269.06000000006</v>
      </c>
      <c r="M52" s="209">
        <v>125586.94</v>
      </c>
      <c r="N52" s="242">
        <v>57084.94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-585842.82999999996</v>
      </c>
      <c r="H53" s="239"/>
      <c r="I53" s="239"/>
      <c r="J53" s="210">
        <v>-68511.17</v>
      </c>
      <c r="K53" s="209">
        <v>0</v>
      </c>
      <c r="L53" s="209">
        <v>-654354</v>
      </c>
      <c r="M53" s="209">
        <v>68511.17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-585842.82999999996</v>
      </c>
      <c r="H54" s="239"/>
      <c r="I54" s="239"/>
      <c r="J54" s="210">
        <v>-68511.17</v>
      </c>
      <c r="K54" s="209">
        <v>0</v>
      </c>
      <c r="L54" s="209">
        <v>-654354</v>
      </c>
      <c r="M54" s="209">
        <v>68511.17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-585842.93000000005</v>
      </c>
      <c r="H59" s="239"/>
      <c r="I59" s="239"/>
      <c r="J59" s="210">
        <v>-68511.070000000007</v>
      </c>
      <c r="K59" s="209">
        <v>0</v>
      </c>
      <c r="L59" s="209">
        <v>-654354</v>
      </c>
      <c r="M59" s="209">
        <v>68511.070000000007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-528767.13</v>
      </c>
      <c r="H62" s="239"/>
      <c r="I62" s="239"/>
      <c r="J62" s="210">
        <v>-68502</v>
      </c>
      <c r="K62" s="209">
        <v>0</v>
      </c>
      <c r="L62" s="209">
        <v>-597269.13</v>
      </c>
      <c r="M62" s="209">
        <v>125586.87</v>
      </c>
      <c r="N62" s="242">
        <v>57084.87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-528767.13</v>
      </c>
      <c r="H63" s="239"/>
      <c r="I63" s="239"/>
      <c r="J63" s="210">
        <v>-68502</v>
      </c>
      <c r="K63" s="209">
        <v>0</v>
      </c>
      <c r="L63" s="209">
        <v>-597269.13</v>
      </c>
      <c r="M63" s="209">
        <v>125586.87</v>
      </c>
      <c r="N63" s="242">
        <v>57084.87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-585842.93000000005</v>
      </c>
      <c r="H64" s="239"/>
      <c r="I64" s="239"/>
      <c r="J64" s="210">
        <v>-68511.070000000007</v>
      </c>
      <c r="K64" s="209">
        <v>0</v>
      </c>
      <c r="L64" s="209">
        <v>-654354</v>
      </c>
      <c r="M64" s="209">
        <v>68511.070000000007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-585842.93000000005</v>
      </c>
      <c r="H65" s="239"/>
      <c r="I65" s="239"/>
      <c r="J65" s="210">
        <v>-68511.070000000007</v>
      </c>
      <c r="K65" s="209">
        <v>0</v>
      </c>
      <c r="L65" s="209">
        <v>-654354</v>
      </c>
      <c r="M65" s="209">
        <v>68511.070000000007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-585842.93000000005</v>
      </c>
      <c r="H66" s="239"/>
      <c r="I66" s="239"/>
      <c r="J66" s="210">
        <v>-68511.070000000007</v>
      </c>
      <c r="K66" s="209">
        <v>0</v>
      </c>
      <c r="L66" s="209">
        <v>-654354</v>
      </c>
      <c r="M66" s="209">
        <v>68511.070000000007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-585841.82999999996</v>
      </c>
      <c r="H68" s="239"/>
      <c r="I68" s="239"/>
      <c r="J68" s="210">
        <v>-68511.17</v>
      </c>
      <c r="K68" s="209">
        <v>0</v>
      </c>
      <c r="L68" s="209">
        <v>-654353</v>
      </c>
      <c r="M68" s="209">
        <v>68511.17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-585841.82999999996</v>
      </c>
      <c r="H73" s="239"/>
      <c r="I73" s="239"/>
      <c r="J73" s="210">
        <v>-68511.17</v>
      </c>
      <c r="K73" s="209">
        <v>0</v>
      </c>
      <c r="L73" s="209">
        <v>-654353</v>
      </c>
      <c r="M73" s="209">
        <v>68511.17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-528766.06000000006</v>
      </c>
      <c r="H75" s="239"/>
      <c r="I75" s="239"/>
      <c r="J75" s="210">
        <v>-68502</v>
      </c>
      <c r="K75" s="209">
        <v>0</v>
      </c>
      <c r="L75" s="209">
        <v>-597268.06000000006</v>
      </c>
      <c r="M75" s="209">
        <v>125586.94</v>
      </c>
      <c r="N75" s="242">
        <v>57084.94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-585841.82999999996</v>
      </c>
      <c r="H76" s="239"/>
      <c r="I76" s="239"/>
      <c r="J76" s="210">
        <v>-68511.17</v>
      </c>
      <c r="K76" s="209">
        <v>0</v>
      </c>
      <c r="L76" s="209">
        <v>-654353</v>
      </c>
      <c r="M76" s="209">
        <v>68511.17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-585841.82999999996</v>
      </c>
      <c r="H78" s="239"/>
      <c r="I78" s="239"/>
      <c r="J78" s="210">
        <v>-68511.17</v>
      </c>
      <c r="K78" s="209">
        <v>0</v>
      </c>
      <c r="L78" s="209">
        <v>-654353</v>
      </c>
      <c r="M78" s="209">
        <v>68511.17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-528766.06000000006</v>
      </c>
      <c r="H79" s="239"/>
      <c r="I79" s="239"/>
      <c r="J79" s="210">
        <v>-68502</v>
      </c>
      <c r="K79" s="209">
        <v>0</v>
      </c>
      <c r="L79" s="209">
        <v>-597268.06000000006</v>
      </c>
      <c r="M79" s="209">
        <v>125586.94</v>
      </c>
      <c r="N79" s="242">
        <v>57084.94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-585841.82999999996</v>
      </c>
      <c r="H80" s="239"/>
      <c r="I80" s="239"/>
      <c r="J80" s="210">
        <v>-68511.17</v>
      </c>
      <c r="K80" s="209">
        <v>0</v>
      </c>
      <c r="L80" s="209">
        <v>-654353</v>
      </c>
      <c r="M80" s="209">
        <v>68511.17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-528766.06000000006</v>
      </c>
      <c r="H82" s="239"/>
      <c r="I82" s="239"/>
      <c r="J82" s="210">
        <v>-68502</v>
      </c>
      <c r="K82" s="209">
        <v>0</v>
      </c>
      <c r="L82" s="209">
        <v>-597268.06000000006</v>
      </c>
      <c r="M82" s="209">
        <v>125586.94</v>
      </c>
      <c r="N82" s="242">
        <v>57084.94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-528766.06000000006</v>
      </c>
      <c r="H83" s="239"/>
      <c r="I83" s="239"/>
      <c r="J83" s="210">
        <v>-68502</v>
      </c>
      <c r="K83" s="209">
        <v>0</v>
      </c>
      <c r="L83" s="209">
        <v>-597268.06000000006</v>
      </c>
      <c r="M83" s="209">
        <v>125586.94</v>
      </c>
      <c r="N83" s="242">
        <v>57084.94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-585841.82999999996</v>
      </c>
      <c r="H85" s="239"/>
      <c r="I85" s="239"/>
      <c r="J85" s="210">
        <v>-68511.17</v>
      </c>
      <c r="K85" s="209">
        <v>0</v>
      </c>
      <c r="L85" s="209">
        <v>-654353</v>
      </c>
      <c r="M85" s="209">
        <v>68511.17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-585841.82999999996</v>
      </c>
      <c r="H87" s="239"/>
      <c r="I87" s="239"/>
      <c r="J87" s="210">
        <v>-68511.17</v>
      </c>
      <c r="K87" s="209">
        <v>0</v>
      </c>
      <c r="L87" s="209">
        <v>-654353</v>
      </c>
      <c r="M87" s="209">
        <v>68511.17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-528766.06000000006</v>
      </c>
      <c r="H91" s="239"/>
      <c r="I91" s="239"/>
      <c r="J91" s="210">
        <v>-68502</v>
      </c>
      <c r="K91" s="209">
        <v>0</v>
      </c>
      <c r="L91" s="209">
        <v>-597268.06000000006</v>
      </c>
      <c r="M91" s="209">
        <v>125586.94</v>
      </c>
      <c r="N91" s="242">
        <v>57084.94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-585841.82999999996</v>
      </c>
      <c r="H92" s="239"/>
      <c r="I92" s="239"/>
      <c r="J92" s="210">
        <v>-68511.17</v>
      </c>
      <c r="K92" s="209">
        <v>0</v>
      </c>
      <c r="L92" s="209">
        <v>-654353</v>
      </c>
      <c r="M92" s="209">
        <v>68511.17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-528766.06000000006</v>
      </c>
      <c r="H96" s="239"/>
      <c r="I96" s="239"/>
      <c r="J96" s="210">
        <v>-68502</v>
      </c>
      <c r="K96" s="209">
        <v>0</v>
      </c>
      <c r="L96" s="209">
        <v>-597268.06000000006</v>
      </c>
      <c r="M96" s="209">
        <v>125586.94</v>
      </c>
      <c r="N96" s="242">
        <v>57084.94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-528766.06000000006</v>
      </c>
      <c r="H97" s="239"/>
      <c r="I97" s="239"/>
      <c r="J97" s="210">
        <v>-68502</v>
      </c>
      <c r="K97" s="209">
        <v>0</v>
      </c>
      <c r="L97" s="209">
        <v>-597268.06000000006</v>
      </c>
      <c r="M97" s="209">
        <v>125586.94</v>
      </c>
      <c r="N97" s="242">
        <v>57084.94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-585841.82999999996</v>
      </c>
      <c r="H99" s="239"/>
      <c r="I99" s="239"/>
      <c r="J99" s="210">
        <v>-68511.17</v>
      </c>
      <c r="K99" s="209">
        <v>0</v>
      </c>
      <c r="L99" s="209">
        <v>-654353</v>
      </c>
      <c r="M99" s="209">
        <v>68511.17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-528766.06000000006</v>
      </c>
      <c r="H102" s="239"/>
      <c r="I102" s="239"/>
      <c r="J102" s="210">
        <v>-68502</v>
      </c>
      <c r="K102" s="209">
        <v>0</v>
      </c>
      <c r="L102" s="209">
        <v>-597268.06000000006</v>
      </c>
      <c r="M102" s="209">
        <v>125586.94</v>
      </c>
      <c r="N102" s="242">
        <v>57084.94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-528766.06000000006</v>
      </c>
      <c r="H103" s="239"/>
      <c r="I103" s="239"/>
      <c r="J103" s="210">
        <v>-68502</v>
      </c>
      <c r="K103" s="209">
        <v>0</v>
      </c>
      <c r="L103" s="209">
        <v>-597268.06000000006</v>
      </c>
      <c r="M103" s="209">
        <v>125586.94</v>
      </c>
      <c r="N103" s="242">
        <v>57084.94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-1072500.08</v>
      </c>
      <c r="H285" s="239"/>
      <c r="I285" s="239"/>
      <c r="J285" s="210">
        <v>-27499.919999999998</v>
      </c>
      <c r="K285" s="209">
        <v>0</v>
      </c>
      <c r="L285" s="209">
        <v>-1100000</v>
      </c>
      <c r="M285" s="209">
        <v>27499.919999999998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-1072500.08</v>
      </c>
      <c r="H286" s="239"/>
      <c r="I286" s="239"/>
      <c r="J286" s="210">
        <v>-27499.919999999998</v>
      </c>
      <c r="K286" s="209">
        <v>0</v>
      </c>
      <c r="L286" s="209">
        <v>-1100000</v>
      </c>
      <c r="M286" s="209">
        <v>27499.919999999998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-103038018.91</v>
      </c>
      <c r="H290" s="244"/>
      <c r="I290" s="244"/>
      <c r="J290" s="208">
        <v>-3960598.68</v>
      </c>
      <c r="K290" s="207">
        <v>0</v>
      </c>
      <c r="L290" s="207">
        <v>-106998617.59</v>
      </c>
      <c r="M290" s="207">
        <v>6080703.8399999999</v>
      </c>
      <c r="N290" s="245">
        <v>2120105.16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-172705.72</v>
      </c>
      <c r="H294" s="239"/>
      <c r="I294" s="239"/>
      <c r="J294" s="210">
        <v>-19190</v>
      </c>
      <c r="K294" s="209">
        <v>0</v>
      </c>
      <c r="L294" s="209">
        <v>-191895.72</v>
      </c>
      <c r="M294" s="209">
        <v>211095.28</v>
      </c>
      <c r="N294" s="242">
        <v>191905.28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-2853636.94</v>
      </c>
      <c r="H295" s="239"/>
      <c r="I295" s="239"/>
      <c r="J295" s="210">
        <v>-317163</v>
      </c>
      <c r="K295" s="209">
        <v>0</v>
      </c>
      <c r="L295" s="209">
        <v>-3170799.94</v>
      </c>
      <c r="M295" s="209">
        <v>3488795.06</v>
      </c>
      <c r="N295" s="242">
        <v>3171632.06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-1632528.58</v>
      </c>
      <c r="H296" s="239"/>
      <c r="I296" s="239"/>
      <c r="J296" s="210">
        <v>-181453</v>
      </c>
      <c r="K296" s="209">
        <v>0</v>
      </c>
      <c r="L296" s="209">
        <v>-1813981.58</v>
      </c>
      <c r="M296" s="209">
        <v>1088714.42</v>
      </c>
      <c r="N296" s="242">
        <v>907261.42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-2590922.5499999998</v>
      </c>
      <c r="H297" s="239"/>
      <c r="I297" s="239"/>
      <c r="J297" s="210">
        <v>-287886</v>
      </c>
      <c r="K297" s="209">
        <v>0</v>
      </c>
      <c r="L297" s="209">
        <v>-2878808.55</v>
      </c>
      <c r="M297" s="209">
        <v>1727316.25</v>
      </c>
      <c r="N297" s="242">
        <v>1439430.25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-1864687.89</v>
      </c>
      <c r="H298" s="239"/>
      <c r="I298" s="239"/>
      <c r="J298" s="210">
        <v>-207201</v>
      </c>
      <c r="K298" s="209">
        <v>0</v>
      </c>
      <c r="L298" s="209">
        <v>-2071888.89</v>
      </c>
      <c r="M298" s="209">
        <v>2279210.71</v>
      </c>
      <c r="N298" s="242">
        <v>2072009.71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-378407.52</v>
      </c>
      <c r="H299" s="239"/>
      <c r="I299" s="239"/>
      <c r="J299" s="210">
        <v>-42282</v>
      </c>
      <c r="K299" s="209">
        <v>0</v>
      </c>
      <c r="L299" s="209">
        <v>-420689.52</v>
      </c>
      <c r="M299" s="209">
        <v>253692.08</v>
      </c>
      <c r="N299" s="242">
        <v>211410.08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-260294.46</v>
      </c>
      <c r="H300" s="239"/>
      <c r="I300" s="239"/>
      <c r="J300" s="210">
        <v>-32538</v>
      </c>
      <c r="K300" s="209">
        <v>0</v>
      </c>
      <c r="L300" s="209">
        <v>-292832.46000000002</v>
      </c>
      <c r="M300" s="209">
        <v>390455.54</v>
      </c>
      <c r="N300" s="242">
        <v>357917.54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-45483.26</v>
      </c>
      <c r="H301" s="239"/>
      <c r="I301" s="239"/>
      <c r="J301" s="210">
        <v>-5981</v>
      </c>
      <c r="K301" s="209">
        <v>0</v>
      </c>
      <c r="L301" s="209">
        <v>-51464.26</v>
      </c>
      <c r="M301" s="209">
        <v>73766.740000000005</v>
      </c>
      <c r="N301" s="242">
        <v>67785.740000000005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-1149218.1399999999</v>
      </c>
      <c r="H302" s="239"/>
      <c r="I302" s="239"/>
      <c r="J302" s="210">
        <v>-164176</v>
      </c>
      <c r="K302" s="209">
        <v>0</v>
      </c>
      <c r="L302" s="209">
        <v>-1313394.1399999999</v>
      </c>
      <c r="M302" s="209">
        <v>2134284.86</v>
      </c>
      <c r="N302" s="242">
        <v>1970108.86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-22376</v>
      </c>
      <c r="H304" s="239"/>
      <c r="I304" s="239"/>
      <c r="J304" s="210">
        <v>-6546</v>
      </c>
      <c r="K304" s="209">
        <v>0</v>
      </c>
      <c r="L304" s="209">
        <v>-28922</v>
      </c>
      <c r="M304" s="209">
        <v>75824</v>
      </c>
      <c r="N304" s="242">
        <v>69278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-738149.93</v>
      </c>
      <c r="H305" s="239"/>
      <c r="I305" s="239"/>
      <c r="J305" s="210">
        <v>-73817</v>
      </c>
      <c r="K305" s="209">
        <v>0</v>
      </c>
      <c r="L305" s="209">
        <v>-811966.93</v>
      </c>
      <c r="M305" s="209">
        <v>369087.07</v>
      </c>
      <c r="N305" s="242">
        <v>295270.07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-11899127.890000001</v>
      </c>
      <c r="H306" s="244"/>
      <c r="I306" s="244"/>
      <c r="J306" s="208">
        <v>-1338233</v>
      </c>
      <c r="K306" s="207">
        <v>0</v>
      </c>
      <c r="L306" s="207">
        <v>-13237360.890000001</v>
      </c>
      <c r="M306" s="207">
        <v>12092242.01</v>
      </c>
      <c r="N306" s="245">
        <v>10754009.01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-170839.3</v>
      </c>
      <c r="H311" s="239"/>
      <c r="I311" s="239"/>
      <c r="J311" s="210">
        <v>-25311</v>
      </c>
      <c r="K311" s="209">
        <v>0</v>
      </c>
      <c r="L311" s="209">
        <v>-196150.3</v>
      </c>
      <c r="M311" s="209">
        <v>82261.7</v>
      </c>
      <c r="N311" s="242">
        <v>56950.7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-65111</v>
      </c>
      <c r="H314" s="239"/>
      <c r="I314" s="239"/>
      <c r="J314" s="210">
        <v>-60102</v>
      </c>
      <c r="K314" s="209">
        <v>0</v>
      </c>
      <c r="L314" s="209">
        <v>-125213</v>
      </c>
      <c r="M314" s="209">
        <v>235399.5</v>
      </c>
      <c r="N314" s="242">
        <v>175297.5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-197413</v>
      </c>
      <c r="H315" s="239"/>
      <c r="I315" s="239"/>
      <c r="J315" s="210">
        <v>-182227</v>
      </c>
      <c r="K315" s="209">
        <v>0</v>
      </c>
      <c r="L315" s="209">
        <v>-379640</v>
      </c>
      <c r="M315" s="209">
        <v>713723.8</v>
      </c>
      <c r="N315" s="242">
        <v>531496.80000000005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-12987173.199999999</v>
      </c>
      <c r="H316" s="244"/>
      <c r="I316" s="244"/>
      <c r="J316" s="208">
        <v>-267640</v>
      </c>
      <c r="K316" s="207">
        <v>0</v>
      </c>
      <c r="L316" s="207">
        <v>-13254813.199999999</v>
      </c>
      <c r="M316" s="207">
        <v>1031385.45</v>
      </c>
      <c r="N316" s="245">
        <v>763745.45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-282292.26</v>
      </c>
      <c r="H334" s="239"/>
      <c r="I334" s="239"/>
      <c r="J334" s="210">
        <v>-31361.74</v>
      </c>
      <c r="K334" s="209">
        <v>0</v>
      </c>
      <c r="L334" s="209">
        <v>-313654</v>
      </c>
      <c r="M334" s="209">
        <v>31361.74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-1114370.69</v>
      </c>
      <c r="H335" s="239"/>
      <c r="I335" s="239"/>
      <c r="J335" s="210">
        <v>-129966</v>
      </c>
      <c r="K335" s="209">
        <v>0</v>
      </c>
      <c r="L335" s="209">
        <v>-1244336.69</v>
      </c>
      <c r="M335" s="209">
        <v>129966.31</v>
      </c>
      <c r="N335" s="242">
        <v>0.31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-642771.24</v>
      </c>
      <c r="H341" s="239"/>
      <c r="I341" s="239"/>
      <c r="J341" s="210">
        <v>-70425</v>
      </c>
      <c r="K341" s="209">
        <v>0</v>
      </c>
      <c r="L341" s="209">
        <v>-713196.24</v>
      </c>
      <c r="M341" s="209">
        <v>416678.76</v>
      </c>
      <c r="N341" s="242">
        <v>346253.76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-120265.04</v>
      </c>
      <c r="H342" s="239"/>
      <c r="I342" s="239"/>
      <c r="J342" s="210">
        <v>-13246</v>
      </c>
      <c r="K342" s="209">
        <v>0</v>
      </c>
      <c r="L342" s="209">
        <v>-133511.04000000001</v>
      </c>
      <c r="M342" s="209">
        <v>144597.96</v>
      </c>
      <c r="N342" s="242">
        <v>131351.96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-788838.03</v>
      </c>
      <c r="H353" s="239"/>
      <c r="I353" s="239"/>
      <c r="J353" s="210">
        <v>-80382</v>
      </c>
      <c r="K353" s="209">
        <v>0</v>
      </c>
      <c r="L353" s="209">
        <v>-869220.03</v>
      </c>
      <c r="M353" s="209">
        <v>160763.97</v>
      </c>
      <c r="N353" s="242">
        <v>80381.97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-216186.13</v>
      </c>
      <c r="H354" s="239"/>
      <c r="I354" s="239"/>
      <c r="J354" s="210">
        <v>-21045</v>
      </c>
      <c r="K354" s="209">
        <v>0</v>
      </c>
      <c r="L354" s="209">
        <v>-237231.13</v>
      </c>
      <c r="M354" s="209">
        <v>210446.87</v>
      </c>
      <c r="N354" s="242">
        <v>189401.87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-69336.44</v>
      </c>
      <c r="H357" s="239"/>
      <c r="I357" s="239"/>
      <c r="J357" s="210">
        <v>-7998</v>
      </c>
      <c r="K357" s="209">
        <v>0</v>
      </c>
      <c r="L357" s="209">
        <v>-77334.44</v>
      </c>
      <c r="M357" s="209">
        <v>10663.56</v>
      </c>
      <c r="N357" s="242">
        <v>2665.56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-66736.44</v>
      </c>
      <c r="H358" s="239"/>
      <c r="I358" s="239"/>
      <c r="J358" s="210">
        <v>-7698</v>
      </c>
      <c r="K358" s="209">
        <v>0</v>
      </c>
      <c r="L358" s="209">
        <v>-74434.44</v>
      </c>
      <c r="M358" s="209">
        <v>10263.56</v>
      </c>
      <c r="N358" s="242">
        <v>2565.56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-31817.97</v>
      </c>
      <c r="H359" s="239"/>
      <c r="I359" s="239"/>
      <c r="J359" s="210">
        <v>-3671</v>
      </c>
      <c r="K359" s="209">
        <v>0</v>
      </c>
      <c r="L359" s="209">
        <v>-35488.97</v>
      </c>
      <c r="M359" s="209">
        <v>4894.03</v>
      </c>
      <c r="N359" s="242">
        <v>1223.03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-20800</v>
      </c>
      <c r="H362" s="239"/>
      <c r="I362" s="239"/>
      <c r="J362" s="210">
        <v>-2400</v>
      </c>
      <c r="K362" s="209">
        <v>0</v>
      </c>
      <c r="L362" s="209">
        <v>-23200</v>
      </c>
      <c r="M362" s="209">
        <v>3200</v>
      </c>
      <c r="N362" s="242">
        <v>800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-2067850.5</v>
      </c>
      <c r="H365" s="239"/>
      <c r="I365" s="239"/>
      <c r="J365" s="210">
        <v>-248142</v>
      </c>
      <c r="K365" s="209">
        <v>0</v>
      </c>
      <c r="L365" s="209">
        <v>-2315992.5</v>
      </c>
      <c r="M365" s="209">
        <v>1654279.5</v>
      </c>
      <c r="N365" s="242">
        <v>1406137.5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-1085060.81</v>
      </c>
      <c r="H366" s="239"/>
      <c r="I366" s="239"/>
      <c r="J366" s="210">
        <v>-130206</v>
      </c>
      <c r="K366" s="209">
        <v>0</v>
      </c>
      <c r="L366" s="209">
        <v>-1215266.81</v>
      </c>
      <c r="M366" s="209">
        <v>868040.19</v>
      </c>
      <c r="N366" s="242">
        <v>737834.19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-498880.15</v>
      </c>
      <c r="H367" s="239"/>
      <c r="I367" s="239"/>
      <c r="J367" s="210">
        <v>-59864</v>
      </c>
      <c r="K367" s="209">
        <v>0</v>
      </c>
      <c r="L367" s="209">
        <v>-558744.15</v>
      </c>
      <c r="M367" s="209">
        <v>399091.85</v>
      </c>
      <c r="N367" s="242">
        <v>339227.85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-523576.39</v>
      </c>
      <c r="H368" s="239"/>
      <c r="I368" s="239"/>
      <c r="J368" s="210">
        <v>-62827</v>
      </c>
      <c r="K368" s="209">
        <v>0</v>
      </c>
      <c r="L368" s="209">
        <v>-586403.39</v>
      </c>
      <c r="M368" s="209">
        <v>418845.61</v>
      </c>
      <c r="N368" s="242">
        <v>356018.61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-271786.55</v>
      </c>
      <c r="H369" s="239"/>
      <c r="I369" s="239"/>
      <c r="J369" s="210">
        <v>-32613</v>
      </c>
      <c r="K369" s="209">
        <v>0</v>
      </c>
      <c r="L369" s="209">
        <v>-304399.55</v>
      </c>
      <c r="M369" s="209">
        <v>217419.45</v>
      </c>
      <c r="N369" s="242">
        <v>184806.45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-571274.19999999995</v>
      </c>
      <c r="H370" s="239"/>
      <c r="I370" s="239"/>
      <c r="J370" s="210">
        <v>-68551</v>
      </c>
      <c r="K370" s="209">
        <v>0</v>
      </c>
      <c r="L370" s="209">
        <v>-639825.19999999995</v>
      </c>
      <c r="M370" s="209">
        <v>799759.8</v>
      </c>
      <c r="N370" s="242">
        <v>731208.8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-1416898.35</v>
      </c>
      <c r="H371" s="239"/>
      <c r="I371" s="239"/>
      <c r="J371" s="210">
        <v>-170027</v>
      </c>
      <c r="K371" s="209">
        <v>0</v>
      </c>
      <c r="L371" s="209">
        <v>-1586925.35</v>
      </c>
      <c r="M371" s="209">
        <v>1133516.6499999999</v>
      </c>
      <c r="N371" s="242">
        <v>963489.65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-369888.65</v>
      </c>
      <c r="H372" s="239"/>
      <c r="I372" s="239"/>
      <c r="J372" s="210">
        <v>-44385</v>
      </c>
      <c r="K372" s="209">
        <v>0</v>
      </c>
      <c r="L372" s="209">
        <v>-414273.65</v>
      </c>
      <c r="M372" s="209">
        <v>961691.35</v>
      </c>
      <c r="N372" s="242">
        <v>917306.35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-450716.65</v>
      </c>
      <c r="H373" s="239"/>
      <c r="I373" s="239"/>
      <c r="J373" s="210">
        <v>-54088</v>
      </c>
      <c r="K373" s="209">
        <v>0</v>
      </c>
      <c r="L373" s="209">
        <v>-504804.65</v>
      </c>
      <c r="M373" s="209">
        <v>360584.35</v>
      </c>
      <c r="N373" s="242">
        <v>306496.34999999998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-65749.11</v>
      </c>
      <c r="H375" s="239"/>
      <c r="I375" s="239"/>
      <c r="J375" s="210">
        <v>-7972</v>
      </c>
      <c r="K375" s="209">
        <v>0</v>
      </c>
      <c r="L375" s="209">
        <v>-73721.11</v>
      </c>
      <c r="M375" s="209">
        <v>13950.89</v>
      </c>
      <c r="N375" s="242">
        <v>5978.89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-74179.7</v>
      </c>
      <c r="H377" s="239"/>
      <c r="I377" s="239"/>
      <c r="J377" s="210">
        <v>-9082</v>
      </c>
      <c r="K377" s="209">
        <v>0</v>
      </c>
      <c r="L377" s="209">
        <v>-83261.7</v>
      </c>
      <c r="M377" s="209">
        <v>16650.3</v>
      </c>
      <c r="N377" s="242">
        <v>7568.3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-73124.22</v>
      </c>
      <c r="H383" s="239"/>
      <c r="I383" s="239"/>
      <c r="J383" s="210">
        <v>-9163</v>
      </c>
      <c r="K383" s="209">
        <v>0</v>
      </c>
      <c r="L383" s="209">
        <v>-82287.22</v>
      </c>
      <c r="M383" s="209">
        <v>18325.78</v>
      </c>
      <c r="N383" s="242">
        <v>9162.7800000000007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-155325.04999999999</v>
      </c>
      <c r="H384" s="239"/>
      <c r="I384" s="239"/>
      <c r="J384" s="210">
        <v>-19530</v>
      </c>
      <c r="K384" s="209">
        <v>0</v>
      </c>
      <c r="L384" s="209">
        <v>-174855.05</v>
      </c>
      <c r="M384" s="209">
        <v>39060.5</v>
      </c>
      <c r="N384" s="242">
        <v>19530.5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-100004.12</v>
      </c>
      <c r="H385" s="239"/>
      <c r="I385" s="239"/>
      <c r="J385" s="210">
        <v>-12498</v>
      </c>
      <c r="K385" s="209">
        <v>0</v>
      </c>
      <c r="L385" s="209">
        <v>-112502.12</v>
      </c>
      <c r="M385" s="209">
        <v>24995.88</v>
      </c>
      <c r="N385" s="242">
        <v>12497.88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-252755.68</v>
      </c>
      <c r="H387" s="239"/>
      <c r="I387" s="239"/>
      <c r="J387" s="210">
        <v>-25462</v>
      </c>
      <c r="K387" s="209">
        <v>0</v>
      </c>
      <c r="L387" s="209">
        <v>-278217.68</v>
      </c>
      <c r="M387" s="209">
        <v>50923.55</v>
      </c>
      <c r="N387" s="242">
        <v>25461.55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-804086.63</v>
      </c>
      <c r="H388" s="239"/>
      <c r="I388" s="239"/>
      <c r="J388" s="210">
        <v>-100509</v>
      </c>
      <c r="K388" s="209">
        <v>0</v>
      </c>
      <c r="L388" s="209">
        <v>-904595.63</v>
      </c>
      <c r="M388" s="209">
        <v>201018.37</v>
      </c>
      <c r="N388" s="242">
        <v>100509.37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-40375</v>
      </c>
      <c r="H389" s="239"/>
      <c r="I389" s="239"/>
      <c r="J389" s="210">
        <v>-5100</v>
      </c>
      <c r="K389" s="209">
        <v>0</v>
      </c>
      <c r="L389" s="209">
        <v>-45475</v>
      </c>
      <c r="M389" s="209">
        <v>10625</v>
      </c>
      <c r="N389" s="242">
        <v>5525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-49526.45</v>
      </c>
      <c r="H390" s="239"/>
      <c r="I390" s="239"/>
      <c r="J390" s="210">
        <v>-6258</v>
      </c>
      <c r="K390" s="209">
        <v>0</v>
      </c>
      <c r="L390" s="209">
        <v>-55784.45</v>
      </c>
      <c r="M390" s="209">
        <v>13037.55</v>
      </c>
      <c r="N390" s="242">
        <v>6779.55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-205616.72</v>
      </c>
      <c r="H391" s="239"/>
      <c r="I391" s="239"/>
      <c r="J391" s="210">
        <v>-25874</v>
      </c>
      <c r="K391" s="209">
        <v>0</v>
      </c>
      <c r="L391" s="209">
        <v>-231490.72</v>
      </c>
      <c r="M391" s="209">
        <v>181122.28</v>
      </c>
      <c r="N391" s="242">
        <v>155248.28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-145153.56</v>
      </c>
      <c r="H392" s="239"/>
      <c r="I392" s="239"/>
      <c r="J392" s="210">
        <v>-18143</v>
      </c>
      <c r="K392" s="209">
        <v>0</v>
      </c>
      <c r="L392" s="209">
        <v>-163296.56</v>
      </c>
      <c r="M392" s="209">
        <v>399145.3</v>
      </c>
      <c r="N392" s="242">
        <v>381002.3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-365517.89</v>
      </c>
      <c r="H393" s="239"/>
      <c r="I393" s="239"/>
      <c r="J393" s="210">
        <v>-45664</v>
      </c>
      <c r="K393" s="209">
        <v>0</v>
      </c>
      <c r="L393" s="209">
        <v>-411181.89</v>
      </c>
      <c r="M393" s="209">
        <v>319646.45</v>
      </c>
      <c r="N393" s="242">
        <v>273982.45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-545587.89</v>
      </c>
      <c r="H394" s="239"/>
      <c r="I394" s="239"/>
      <c r="J394" s="210">
        <v>-68286</v>
      </c>
      <c r="K394" s="209">
        <v>0</v>
      </c>
      <c r="L394" s="209">
        <v>-613873.89</v>
      </c>
      <c r="M394" s="209">
        <v>478002.41</v>
      </c>
      <c r="N394" s="242">
        <v>409716.41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-989957.76</v>
      </c>
      <c r="H395" s="239"/>
      <c r="I395" s="239"/>
      <c r="J395" s="210">
        <v>-123869</v>
      </c>
      <c r="K395" s="209">
        <v>0</v>
      </c>
      <c r="L395" s="209">
        <v>-1113826.76</v>
      </c>
      <c r="M395" s="209">
        <v>867084.58</v>
      </c>
      <c r="N395" s="242">
        <v>743215.58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-348412.44</v>
      </c>
      <c r="H396" s="239"/>
      <c r="I396" s="239"/>
      <c r="J396" s="210">
        <v>-43554</v>
      </c>
      <c r="K396" s="209">
        <v>0</v>
      </c>
      <c r="L396" s="209">
        <v>-391966.44</v>
      </c>
      <c r="M396" s="209">
        <v>958186.56</v>
      </c>
      <c r="N396" s="242">
        <v>914632.56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-99278</v>
      </c>
      <c r="H400" s="239"/>
      <c r="I400" s="239"/>
      <c r="J400" s="210">
        <v>-12810</v>
      </c>
      <c r="K400" s="209">
        <v>0</v>
      </c>
      <c r="L400" s="209">
        <v>-112088</v>
      </c>
      <c r="M400" s="209">
        <v>28822</v>
      </c>
      <c r="N400" s="242">
        <v>16012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-46500</v>
      </c>
      <c r="H402" s="239"/>
      <c r="I402" s="239"/>
      <c r="J402" s="210">
        <v>-6000</v>
      </c>
      <c r="K402" s="209">
        <v>0</v>
      </c>
      <c r="L402" s="209">
        <v>-52500</v>
      </c>
      <c r="M402" s="209">
        <v>13500</v>
      </c>
      <c r="N402" s="242">
        <v>7500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-35745.949999999997</v>
      </c>
      <c r="H403" s="239"/>
      <c r="I403" s="239"/>
      <c r="J403" s="210">
        <v>-4662</v>
      </c>
      <c r="K403" s="209">
        <v>0</v>
      </c>
      <c r="L403" s="209">
        <v>-40407.949999999997</v>
      </c>
      <c r="M403" s="209">
        <v>10878.05</v>
      </c>
      <c r="N403" s="242">
        <v>6216.05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-219425.37</v>
      </c>
      <c r="H406" s="239"/>
      <c r="I406" s="239"/>
      <c r="J406" s="210">
        <v>-28938</v>
      </c>
      <c r="K406" s="209">
        <v>0</v>
      </c>
      <c r="L406" s="209">
        <v>-248363.37</v>
      </c>
      <c r="M406" s="209">
        <v>359309.63</v>
      </c>
      <c r="N406" s="242">
        <v>330371.63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-381440.86</v>
      </c>
      <c r="H407" s="239"/>
      <c r="I407" s="239"/>
      <c r="J407" s="210">
        <v>-50861</v>
      </c>
      <c r="K407" s="209">
        <v>0</v>
      </c>
      <c r="L407" s="209">
        <v>-432301.86</v>
      </c>
      <c r="M407" s="209">
        <v>381459.14</v>
      </c>
      <c r="N407" s="242">
        <v>330598.14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-31886.54</v>
      </c>
      <c r="H415" s="239"/>
      <c r="I415" s="239"/>
      <c r="J415" s="210">
        <v>-4302</v>
      </c>
      <c r="K415" s="209">
        <v>0</v>
      </c>
      <c r="L415" s="209">
        <v>-36188.54</v>
      </c>
      <c r="M415" s="209">
        <v>11113.46</v>
      </c>
      <c r="N415" s="242">
        <v>6811.46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-68693.97</v>
      </c>
      <c r="H417" s="239"/>
      <c r="I417" s="239"/>
      <c r="J417" s="210">
        <v>-9366</v>
      </c>
      <c r="K417" s="209">
        <v>0</v>
      </c>
      <c r="L417" s="209">
        <v>-78059.97</v>
      </c>
      <c r="M417" s="209">
        <v>71806.03</v>
      </c>
      <c r="N417" s="242">
        <v>62440.03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-295929.11</v>
      </c>
      <c r="H418" s="239"/>
      <c r="I418" s="239"/>
      <c r="J418" s="210">
        <v>-40351</v>
      </c>
      <c r="K418" s="209">
        <v>0</v>
      </c>
      <c r="L418" s="209">
        <v>-336280.11</v>
      </c>
      <c r="M418" s="209">
        <v>107603.38</v>
      </c>
      <c r="N418" s="242">
        <v>67252.38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-73546.990000000005</v>
      </c>
      <c r="H420" s="239"/>
      <c r="I420" s="239"/>
      <c r="J420" s="210">
        <v>-10031</v>
      </c>
      <c r="K420" s="209">
        <v>0</v>
      </c>
      <c r="L420" s="209">
        <v>-83577.990000000005</v>
      </c>
      <c r="M420" s="209">
        <v>127061.01</v>
      </c>
      <c r="N420" s="242">
        <v>117030.01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-179160.54</v>
      </c>
      <c r="H423" s="239"/>
      <c r="I423" s="239"/>
      <c r="J423" s="210">
        <v>-25002</v>
      </c>
      <c r="K423" s="209">
        <v>0</v>
      </c>
      <c r="L423" s="209">
        <v>-204162.54</v>
      </c>
      <c r="M423" s="209">
        <v>70839.460000000006</v>
      </c>
      <c r="N423" s="242">
        <v>45837.46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-146910.54</v>
      </c>
      <c r="H424" s="239"/>
      <c r="I424" s="239"/>
      <c r="J424" s="210">
        <v>-20502</v>
      </c>
      <c r="K424" s="209">
        <v>0</v>
      </c>
      <c r="L424" s="209">
        <v>-167412.54</v>
      </c>
      <c r="M424" s="209">
        <v>58089.46</v>
      </c>
      <c r="N424" s="242">
        <v>37587.46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-40477.42</v>
      </c>
      <c r="H426" s="239"/>
      <c r="I426" s="239"/>
      <c r="J426" s="210">
        <v>-5646</v>
      </c>
      <c r="K426" s="209">
        <v>0</v>
      </c>
      <c r="L426" s="209">
        <v>-46123.42</v>
      </c>
      <c r="M426" s="209">
        <v>15997.08</v>
      </c>
      <c r="N426" s="242">
        <v>10351.08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-86938.3</v>
      </c>
      <c r="H427" s="239"/>
      <c r="I427" s="239"/>
      <c r="J427" s="210">
        <v>-12271</v>
      </c>
      <c r="K427" s="209">
        <v>0</v>
      </c>
      <c r="L427" s="209">
        <v>-99209.3</v>
      </c>
      <c r="M427" s="209">
        <v>97148.7</v>
      </c>
      <c r="N427" s="242">
        <v>84877.7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-58142.6</v>
      </c>
      <c r="H428" s="239"/>
      <c r="I428" s="239"/>
      <c r="J428" s="210">
        <v>-8209</v>
      </c>
      <c r="K428" s="209">
        <v>0</v>
      </c>
      <c r="L428" s="209">
        <v>-66351.600000000006</v>
      </c>
      <c r="M428" s="209">
        <v>23942.400000000001</v>
      </c>
      <c r="N428" s="242">
        <v>15733.4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-21600.79</v>
      </c>
      <c r="H429" s="239"/>
      <c r="I429" s="239"/>
      <c r="J429" s="210">
        <v>-3051</v>
      </c>
      <c r="K429" s="209">
        <v>0</v>
      </c>
      <c r="L429" s="209">
        <v>-24651.79</v>
      </c>
      <c r="M429" s="209">
        <v>8899.2099999999991</v>
      </c>
      <c r="N429" s="242">
        <v>5848.21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-77922.8</v>
      </c>
      <c r="H430" s="239"/>
      <c r="I430" s="239"/>
      <c r="J430" s="210">
        <v>-10998</v>
      </c>
      <c r="K430" s="209">
        <v>0</v>
      </c>
      <c r="L430" s="209">
        <v>-88920.8</v>
      </c>
      <c r="M430" s="209">
        <v>32077.200000000001</v>
      </c>
      <c r="N430" s="242">
        <v>21079.200000000001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-32938</v>
      </c>
      <c r="H431" s="239"/>
      <c r="I431" s="239"/>
      <c r="J431" s="210">
        <v>-4650</v>
      </c>
      <c r="K431" s="209">
        <v>0</v>
      </c>
      <c r="L431" s="209">
        <v>-37588</v>
      </c>
      <c r="M431" s="209">
        <v>13562</v>
      </c>
      <c r="N431" s="242">
        <v>8912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-105340.93</v>
      </c>
      <c r="H432" s="239"/>
      <c r="I432" s="239"/>
      <c r="J432" s="210">
        <v>-15049</v>
      </c>
      <c r="K432" s="209">
        <v>0</v>
      </c>
      <c r="L432" s="209">
        <v>-120389.93</v>
      </c>
      <c r="M432" s="209">
        <v>45148.07</v>
      </c>
      <c r="N432" s="242">
        <v>30099.07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-338104.51</v>
      </c>
      <c r="H433" s="239"/>
      <c r="I433" s="239"/>
      <c r="J433" s="210">
        <v>-48302</v>
      </c>
      <c r="K433" s="209">
        <v>0</v>
      </c>
      <c r="L433" s="209">
        <v>-386406.51</v>
      </c>
      <c r="M433" s="209">
        <v>386411.49</v>
      </c>
      <c r="N433" s="242">
        <v>338109.49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-140037.15</v>
      </c>
      <c r="H435" s="239"/>
      <c r="I435" s="239"/>
      <c r="J435" s="210">
        <v>-20006</v>
      </c>
      <c r="K435" s="209">
        <v>0</v>
      </c>
      <c r="L435" s="209">
        <v>-160043.15</v>
      </c>
      <c r="M435" s="209">
        <v>160050.85</v>
      </c>
      <c r="N435" s="242">
        <v>140044.85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-31028.26</v>
      </c>
      <c r="H436" s="239"/>
      <c r="I436" s="239"/>
      <c r="J436" s="210">
        <v>-4434</v>
      </c>
      <c r="K436" s="209">
        <v>0</v>
      </c>
      <c r="L436" s="209">
        <v>-35462.26</v>
      </c>
      <c r="M436" s="209">
        <v>35471.74</v>
      </c>
      <c r="N436" s="242">
        <v>31037.74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-31028.26</v>
      </c>
      <c r="H437" s="239"/>
      <c r="I437" s="239"/>
      <c r="J437" s="210">
        <v>-4434</v>
      </c>
      <c r="K437" s="209">
        <v>0</v>
      </c>
      <c r="L437" s="209">
        <v>-35462.26</v>
      </c>
      <c r="M437" s="209">
        <v>35471.74</v>
      </c>
      <c r="N437" s="242">
        <v>31037.74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-31028.26</v>
      </c>
      <c r="H438" s="239"/>
      <c r="I438" s="239"/>
      <c r="J438" s="210">
        <v>-4434</v>
      </c>
      <c r="K438" s="209">
        <v>0</v>
      </c>
      <c r="L438" s="209">
        <v>-35462.26</v>
      </c>
      <c r="M438" s="209">
        <v>35471.74</v>
      </c>
      <c r="N438" s="242">
        <v>31037.74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-31028.26</v>
      </c>
      <c r="H439" s="239"/>
      <c r="I439" s="239"/>
      <c r="J439" s="210">
        <v>-4434</v>
      </c>
      <c r="K439" s="209">
        <v>0</v>
      </c>
      <c r="L439" s="209">
        <v>-35462.26</v>
      </c>
      <c r="M439" s="209">
        <v>35471.74</v>
      </c>
      <c r="N439" s="242">
        <v>31037.74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-31028.26</v>
      </c>
      <c r="H440" s="239"/>
      <c r="I440" s="239"/>
      <c r="J440" s="210">
        <v>-4434</v>
      </c>
      <c r="K440" s="209">
        <v>0</v>
      </c>
      <c r="L440" s="209">
        <v>-35462.26</v>
      </c>
      <c r="M440" s="209">
        <v>35471.74</v>
      </c>
      <c r="N440" s="242">
        <v>31037.74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-31028.26</v>
      </c>
      <c r="H441" s="239"/>
      <c r="I441" s="239"/>
      <c r="J441" s="210">
        <v>-4434</v>
      </c>
      <c r="K441" s="209">
        <v>0</v>
      </c>
      <c r="L441" s="209">
        <v>-35462.26</v>
      </c>
      <c r="M441" s="209">
        <v>35471.74</v>
      </c>
      <c r="N441" s="242">
        <v>31037.74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-31028.26</v>
      </c>
      <c r="H442" s="239"/>
      <c r="I442" s="239"/>
      <c r="J442" s="210">
        <v>-4434</v>
      </c>
      <c r="K442" s="209">
        <v>0</v>
      </c>
      <c r="L442" s="209">
        <v>-35462.26</v>
      </c>
      <c r="M442" s="209">
        <v>35471.74</v>
      </c>
      <c r="N442" s="242">
        <v>31037.74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-31028.26</v>
      </c>
      <c r="H443" s="239"/>
      <c r="I443" s="239"/>
      <c r="J443" s="210">
        <v>-4434</v>
      </c>
      <c r="K443" s="209">
        <v>0</v>
      </c>
      <c r="L443" s="209">
        <v>-35462.26</v>
      </c>
      <c r="M443" s="209">
        <v>35471.74</v>
      </c>
      <c r="N443" s="242">
        <v>31037.74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-147114.54999999999</v>
      </c>
      <c r="H444" s="239"/>
      <c r="I444" s="239"/>
      <c r="J444" s="210">
        <v>-21018</v>
      </c>
      <c r="K444" s="209">
        <v>0</v>
      </c>
      <c r="L444" s="209">
        <v>-168132.55</v>
      </c>
      <c r="M444" s="209">
        <v>273234.45</v>
      </c>
      <c r="N444" s="242">
        <v>252216.45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-47606.13</v>
      </c>
      <c r="H447" s="239"/>
      <c r="I447" s="239"/>
      <c r="J447" s="210">
        <v>-6798</v>
      </c>
      <c r="K447" s="209">
        <v>0</v>
      </c>
      <c r="L447" s="209">
        <v>-54404.13</v>
      </c>
      <c r="M447" s="209">
        <v>20393.87</v>
      </c>
      <c r="N447" s="242">
        <v>13595.87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-121107.46</v>
      </c>
      <c r="H450" s="239"/>
      <c r="I450" s="239"/>
      <c r="J450" s="210">
        <v>-17511</v>
      </c>
      <c r="K450" s="209">
        <v>0</v>
      </c>
      <c r="L450" s="209">
        <v>-138618.46</v>
      </c>
      <c r="M450" s="209">
        <v>53992.54</v>
      </c>
      <c r="N450" s="242">
        <v>36481.54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-47095.6</v>
      </c>
      <c r="H465" s="239"/>
      <c r="I465" s="239"/>
      <c r="J465" s="210">
        <v>-7535</v>
      </c>
      <c r="K465" s="209">
        <v>0</v>
      </c>
      <c r="L465" s="209">
        <v>-54630.6</v>
      </c>
      <c r="M465" s="209">
        <v>28254.400000000001</v>
      </c>
      <c r="N465" s="242">
        <v>20719.400000000001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-47095.6</v>
      </c>
      <c r="H466" s="239"/>
      <c r="I466" s="239"/>
      <c r="J466" s="210">
        <v>-7535</v>
      </c>
      <c r="K466" s="209">
        <v>0</v>
      </c>
      <c r="L466" s="209">
        <v>-54630.6</v>
      </c>
      <c r="M466" s="209">
        <v>28254.400000000001</v>
      </c>
      <c r="N466" s="242">
        <v>20719.400000000001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-47095.6</v>
      </c>
      <c r="H467" s="239"/>
      <c r="I467" s="239"/>
      <c r="J467" s="210">
        <v>-7535</v>
      </c>
      <c r="K467" s="209">
        <v>0</v>
      </c>
      <c r="L467" s="209">
        <v>-54630.6</v>
      </c>
      <c r="M467" s="209">
        <v>28254.400000000001</v>
      </c>
      <c r="N467" s="242">
        <v>20719.400000000001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-47095.6</v>
      </c>
      <c r="H468" s="239"/>
      <c r="I468" s="239"/>
      <c r="J468" s="210">
        <v>-7535</v>
      </c>
      <c r="K468" s="209">
        <v>0</v>
      </c>
      <c r="L468" s="209">
        <v>-54630.6</v>
      </c>
      <c r="M468" s="209">
        <v>28254.400000000001</v>
      </c>
      <c r="N468" s="242">
        <v>20719.400000000001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-47740.75</v>
      </c>
      <c r="H469" s="239"/>
      <c r="I469" s="239"/>
      <c r="J469" s="210">
        <v>-7638</v>
      </c>
      <c r="K469" s="209">
        <v>0</v>
      </c>
      <c r="L469" s="209">
        <v>-55378.75</v>
      </c>
      <c r="M469" s="209">
        <v>28642.25</v>
      </c>
      <c r="N469" s="242">
        <v>21004.25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-47740.75</v>
      </c>
      <c r="H470" s="239"/>
      <c r="I470" s="239"/>
      <c r="J470" s="210">
        <v>-7638</v>
      </c>
      <c r="K470" s="209">
        <v>0</v>
      </c>
      <c r="L470" s="209">
        <v>-55378.75</v>
      </c>
      <c r="M470" s="209">
        <v>28642.25</v>
      </c>
      <c r="N470" s="242">
        <v>21004.25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-47740.75</v>
      </c>
      <c r="H471" s="239"/>
      <c r="I471" s="239"/>
      <c r="J471" s="210">
        <v>-7638</v>
      </c>
      <c r="K471" s="209">
        <v>0</v>
      </c>
      <c r="L471" s="209">
        <v>-55378.75</v>
      </c>
      <c r="M471" s="209">
        <v>28642.25</v>
      </c>
      <c r="N471" s="242">
        <v>21004.25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-20941.75</v>
      </c>
      <c r="H473" s="239"/>
      <c r="I473" s="239"/>
      <c r="J473" s="210">
        <v>-3354</v>
      </c>
      <c r="K473" s="209">
        <v>0</v>
      </c>
      <c r="L473" s="209">
        <v>-24295.75</v>
      </c>
      <c r="M473" s="209">
        <v>12577.25</v>
      </c>
      <c r="N473" s="242">
        <v>9223.25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-82019.289999999994</v>
      </c>
      <c r="H483" s="239"/>
      <c r="I483" s="239"/>
      <c r="J483" s="210">
        <v>-13672</v>
      </c>
      <c r="K483" s="209">
        <v>0</v>
      </c>
      <c r="L483" s="209">
        <v>-95691.29</v>
      </c>
      <c r="M483" s="209">
        <v>123048.71</v>
      </c>
      <c r="N483" s="242">
        <v>109376.71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-31692.29</v>
      </c>
      <c r="H484" s="239"/>
      <c r="I484" s="239"/>
      <c r="J484" s="210">
        <v>-5285</v>
      </c>
      <c r="K484" s="209">
        <v>0</v>
      </c>
      <c r="L484" s="209">
        <v>-36977.29</v>
      </c>
      <c r="M484" s="209">
        <v>21139.71</v>
      </c>
      <c r="N484" s="242">
        <v>15854.71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-25030.09</v>
      </c>
      <c r="H485" s="239"/>
      <c r="I485" s="239"/>
      <c r="J485" s="210">
        <v>-4170</v>
      </c>
      <c r="K485" s="209">
        <v>0</v>
      </c>
      <c r="L485" s="209">
        <v>-29200.09</v>
      </c>
      <c r="M485" s="209">
        <v>37529.910000000003</v>
      </c>
      <c r="N485" s="242">
        <v>33359.910000000003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-25030.09</v>
      </c>
      <c r="H486" s="239"/>
      <c r="I486" s="239"/>
      <c r="J486" s="210">
        <v>-4170</v>
      </c>
      <c r="K486" s="209">
        <v>0</v>
      </c>
      <c r="L486" s="209">
        <v>-29200.09</v>
      </c>
      <c r="M486" s="209">
        <v>37529.910000000003</v>
      </c>
      <c r="N486" s="242">
        <v>33359.910000000003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-25030.09</v>
      </c>
      <c r="H487" s="239"/>
      <c r="I487" s="239"/>
      <c r="J487" s="210">
        <v>-4170</v>
      </c>
      <c r="K487" s="209">
        <v>0</v>
      </c>
      <c r="L487" s="209">
        <v>-29200.09</v>
      </c>
      <c r="M487" s="209">
        <v>37529.910000000003</v>
      </c>
      <c r="N487" s="242">
        <v>33359.910000000003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-25030.09</v>
      </c>
      <c r="H488" s="239"/>
      <c r="I488" s="239"/>
      <c r="J488" s="210">
        <v>-4170</v>
      </c>
      <c r="K488" s="209">
        <v>0</v>
      </c>
      <c r="L488" s="209">
        <v>-29200.09</v>
      </c>
      <c r="M488" s="209">
        <v>37529.910000000003</v>
      </c>
      <c r="N488" s="242">
        <v>33359.910000000003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-25030.09</v>
      </c>
      <c r="H489" s="239"/>
      <c r="I489" s="239"/>
      <c r="J489" s="210">
        <v>-4170</v>
      </c>
      <c r="K489" s="209">
        <v>0</v>
      </c>
      <c r="L489" s="209">
        <v>-29200.09</v>
      </c>
      <c r="M489" s="209">
        <v>37529.910000000003</v>
      </c>
      <c r="N489" s="242">
        <v>33359.910000000003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-25030.09</v>
      </c>
      <c r="H490" s="239"/>
      <c r="I490" s="239"/>
      <c r="J490" s="210">
        <v>-4170</v>
      </c>
      <c r="K490" s="209">
        <v>0</v>
      </c>
      <c r="L490" s="209">
        <v>-29200.09</v>
      </c>
      <c r="M490" s="209">
        <v>37529.910000000003</v>
      </c>
      <c r="N490" s="242">
        <v>33359.910000000003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-25030.09</v>
      </c>
      <c r="H491" s="239"/>
      <c r="I491" s="239"/>
      <c r="J491" s="210">
        <v>-4170</v>
      </c>
      <c r="K491" s="209">
        <v>0</v>
      </c>
      <c r="L491" s="209">
        <v>-29200.09</v>
      </c>
      <c r="M491" s="209">
        <v>37529.910000000003</v>
      </c>
      <c r="N491" s="242">
        <v>33359.910000000003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-25030.09</v>
      </c>
      <c r="H492" s="239"/>
      <c r="I492" s="239"/>
      <c r="J492" s="210">
        <v>-4170</v>
      </c>
      <c r="K492" s="209">
        <v>0</v>
      </c>
      <c r="L492" s="209">
        <v>-29200.09</v>
      </c>
      <c r="M492" s="209">
        <v>37529.910000000003</v>
      </c>
      <c r="N492" s="242">
        <v>33359.910000000003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-25030.09</v>
      </c>
      <c r="H493" s="239"/>
      <c r="I493" s="239"/>
      <c r="J493" s="210">
        <v>-4170</v>
      </c>
      <c r="K493" s="209">
        <v>0</v>
      </c>
      <c r="L493" s="209">
        <v>-29200.09</v>
      </c>
      <c r="M493" s="209">
        <v>37529.910000000003</v>
      </c>
      <c r="N493" s="242">
        <v>33359.910000000003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-25030.09</v>
      </c>
      <c r="H494" s="239"/>
      <c r="I494" s="239"/>
      <c r="J494" s="210">
        <v>-4170</v>
      </c>
      <c r="K494" s="209">
        <v>0</v>
      </c>
      <c r="L494" s="209">
        <v>-29200.09</v>
      </c>
      <c r="M494" s="209">
        <v>37529.910000000003</v>
      </c>
      <c r="N494" s="242">
        <v>33359.910000000003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-25030.09</v>
      </c>
      <c r="H495" s="239"/>
      <c r="I495" s="239"/>
      <c r="J495" s="210">
        <v>-4170</v>
      </c>
      <c r="K495" s="209">
        <v>0</v>
      </c>
      <c r="L495" s="209">
        <v>-29200.09</v>
      </c>
      <c r="M495" s="209">
        <v>37529.910000000003</v>
      </c>
      <c r="N495" s="242">
        <v>33359.910000000003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-25030.09</v>
      </c>
      <c r="H496" s="239"/>
      <c r="I496" s="239"/>
      <c r="J496" s="210">
        <v>-4170</v>
      </c>
      <c r="K496" s="209">
        <v>0</v>
      </c>
      <c r="L496" s="209">
        <v>-29200.09</v>
      </c>
      <c r="M496" s="209">
        <v>37529.910000000003</v>
      </c>
      <c r="N496" s="242">
        <v>33359.910000000003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-25030.09</v>
      </c>
      <c r="H497" s="239"/>
      <c r="I497" s="239"/>
      <c r="J497" s="210">
        <v>-4170</v>
      </c>
      <c r="K497" s="209">
        <v>0</v>
      </c>
      <c r="L497" s="209">
        <v>-29200.09</v>
      </c>
      <c r="M497" s="209">
        <v>37529.910000000003</v>
      </c>
      <c r="N497" s="242">
        <v>33359.910000000003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-25030.09</v>
      </c>
      <c r="H498" s="239"/>
      <c r="I498" s="239"/>
      <c r="J498" s="210">
        <v>-4170</v>
      </c>
      <c r="K498" s="209">
        <v>0</v>
      </c>
      <c r="L498" s="209">
        <v>-29200.09</v>
      </c>
      <c r="M498" s="209">
        <v>37529.910000000003</v>
      </c>
      <c r="N498" s="242">
        <v>33359.910000000003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-99620</v>
      </c>
      <c r="H500" s="239"/>
      <c r="I500" s="239"/>
      <c r="J500" s="210">
        <v>-17580</v>
      </c>
      <c r="K500" s="209">
        <v>0</v>
      </c>
      <c r="L500" s="209">
        <v>-117200</v>
      </c>
      <c r="M500" s="209">
        <v>76180</v>
      </c>
      <c r="N500" s="242">
        <v>58600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-218078.96</v>
      </c>
      <c r="H502" s="239"/>
      <c r="I502" s="239"/>
      <c r="J502" s="210">
        <v>-39090</v>
      </c>
      <c r="K502" s="209">
        <v>0</v>
      </c>
      <c r="L502" s="209">
        <v>-257168.96</v>
      </c>
      <c r="M502" s="209">
        <v>368097.85</v>
      </c>
      <c r="N502" s="242">
        <v>329007.84999999998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-150999.45000000001</v>
      </c>
      <c r="H503" s="239"/>
      <c r="I503" s="239"/>
      <c r="J503" s="210">
        <v>-18120</v>
      </c>
      <c r="K503" s="209">
        <v>0</v>
      </c>
      <c r="L503" s="209">
        <v>-169119.45</v>
      </c>
      <c r="M503" s="209">
        <v>120798.77</v>
      </c>
      <c r="N503" s="242">
        <v>102678.77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-46996.800000000003</v>
      </c>
      <c r="H504" s="239"/>
      <c r="I504" s="239"/>
      <c r="J504" s="210">
        <v>-8676</v>
      </c>
      <c r="K504" s="209">
        <v>0</v>
      </c>
      <c r="L504" s="209">
        <v>-55672.800000000003</v>
      </c>
      <c r="M504" s="209">
        <v>39768.050000000003</v>
      </c>
      <c r="N504" s="242">
        <v>31092.05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-533324.28</v>
      </c>
      <c r="H505" s="239"/>
      <c r="I505" s="239"/>
      <c r="J505" s="210">
        <v>-100002</v>
      </c>
      <c r="K505" s="209">
        <v>0</v>
      </c>
      <c r="L505" s="209">
        <v>-633326.28</v>
      </c>
      <c r="M505" s="209">
        <v>466675.72</v>
      </c>
      <c r="N505" s="242">
        <v>366673.72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-138366.43</v>
      </c>
      <c r="H507" s="239"/>
      <c r="I507" s="239"/>
      <c r="J507" s="210">
        <v>-25944</v>
      </c>
      <c r="K507" s="209">
        <v>0</v>
      </c>
      <c r="L507" s="209">
        <v>-164310.43</v>
      </c>
      <c r="M507" s="209">
        <v>121069.57</v>
      </c>
      <c r="N507" s="242">
        <v>95125.57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-121945.55</v>
      </c>
      <c r="H509" s="239"/>
      <c r="I509" s="239"/>
      <c r="J509" s="210">
        <v>-22866</v>
      </c>
      <c r="K509" s="209">
        <v>0</v>
      </c>
      <c r="L509" s="209">
        <v>-144811.54999999999</v>
      </c>
      <c r="M509" s="209">
        <v>106708.45</v>
      </c>
      <c r="N509" s="242">
        <v>83842.45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-138675.72</v>
      </c>
      <c r="H510" s="239"/>
      <c r="I510" s="239"/>
      <c r="J510" s="210">
        <v>-25998</v>
      </c>
      <c r="K510" s="209">
        <v>0</v>
      </c>
      <c r="L510" s="209">
        <v>-164673.72</v>
      </c>
      <c r="M510" s="209">
        <v>121324.28</v>
      </c>
      <c r="N510" s="242">
        <v>95326.28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-73510.86</v>
      </c>
      <c r="H513" s="239"/>
      <c r="I513" s="239"/>
      <c r="J513" s="210">
        <v>-14226</v>
      </c>
      <c r="K513" s="209">
        <v>0</v>
      </c>
      <c r="L513" s="209">
        <v>-87736.86</v>
      </c>
      <c r="M513" s="209">
        <v>68758.789999999994</v>
      </c>
      <c r="N513" s="242">
        <v>54532.79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-11771.39</v>
      </c>
      <c r="H514" s="239"/>
      <c r="I514" s="239"/>
      <c r="J514" s="210">
        <v>-2286</v>
      </c>
      <c r="K514" s="209">
        <v>0</v>
      </c>
      <c r="L514" s="209">
        <v>-14057.39</v>
      </c>
      <c r="M514" s="209">
        <v>11049.36</v>
      </c>
      <c r="N514" s="242">
        <v>8763.36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-14456.38</v>
      </c>
      <c r="H515" s="239"/>
      <c r="I515" s="239"/>
      <c r="J515" s="210">
        <v>-2808</v>
      </c>
      <c r="K515" s="209">
        <v>0</v>
      </c>
      <c r="L515" s="209">
        <v>-17264.38</v>
      </c>
      <c r="M515" s="209">
        <v>13574.28</v>
      </c>
      <c r="N515" s="242">
        <v>10766.28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-23523.65</v>
      </c>
      <c r="H516" s="239"/>
      <c r="I516" s="239"/>
      <c r="J516" s="210">
        <v>-4576</v>
      </c>
      <c r="K516" s="209">
        <v>0</v>
      </c>
      <c r="L516" s="209">
        <v>-28099.65</v>
      </c>
      <c r="M516" s="209">
        <v>22117.71</v>
      </c>
      <c r="N516" s="242">
        <v>17541.71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-22899.48</v>
      </c>
      <c r="H517" s="239"/>
      <c r="I517" s="239"/>
      <c r="J517" s="210">
        <v>-4434</v>
      </c>
      <c r="K517" s="209">
        <v>0</v>
      </c>
      <c r="L517" s="209">
        <v>-27333.48</v>
      </c>
      <c r="M517" s="209">
        <v>43600.52</v>
      </c>
      <c r="N517" s="242">
        <v>39166.519999999997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-22899.48</v>
      </c>
      <c r="H518" s="239"/>
      <c r="I518" s="239"/>
      <c r="J518" s="210">
        <v>-4434</v>
      </c>
      <c r="K518" s="209">
        <v>0</v>
      </c>
      <c r="L518" s="209">
        <v>-27333.48</v>
      </c>
      <c r="M518" s="209">
        <v>43600.52</v>
      </c>
      <c r="N518" s="242">
        <v>39166.519999999997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-22899.48</v>
      </c>
      <c r="H519" s="239"/>
      <c r="I519" s="239"/>
      <c r="J519" s="210">
        <v>-4434</v>
      </c>
      <c r="K519" s="209">
        <v>0</v>
      </c>
      <c r="L519" s="209">
        <v>-27333.48</v>
      </c>
      <c r="M519" s="209">
        <v>43600.52</v>
      </c>
      <c r="N519" s="242">
        <v>39166.519999999997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-22899.48</v>
      </c>
      <c r="H520" s="239"/>
      <c r="I520" s="239"/>
      <c r="J520" s="210">
        <v>-4434</v>
      </c>
      <c r="K520" s="209">
        <v>0</v>
      </c>
      <c r="L520" s="209">
        <v>-27333.48</v>
      </c>
      <c r="M520" s="209">
        <v>43600.52</v>
      </c>
      <c r="N520" s="242">
        <v>39166.519999999997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-22899.48</v>
      </c>
      <c r="H521" s="239"/>
      <c r="I521" s="239"/>
      <c r="J521" s="210">
        <v>-4434</v>
      </c>
      <c r="K521" s="209">
        <v>0</v>
      </c>
      <c r="L521" s="209">
        <v>-27333.48</v>
      </c>
      <c r="M521" s="209">
        <v>43600.52</v>
      </c>
      <c r="N521" s="242">
        <v>39166.519999999997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-109543.39</v>
      </c>
      <c r="H522" s="239"/>
      <c r="I522" s="239"/>
      <c r="J522" s="210">
        <v>-21199</v>
      </c>
      <c r="K522" s="209">
        <v>0</v>
      </c>
      <c r="L522" s="209">
        <v>-130742.39</v>
      </c>
      <c r="M522" s="209">
        <v>314456.61</v>
      </c>
      <c r="N522" s="242">
        <v>293257.61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-23220.959999999999</v>
      </c>
      <c r="H523" s="239"/>
      <c r="I523" s="239"/>
      <c r="J523" s="210">
        <v>-4566</v>
      </c>
      <c r="K523" s="209">
        <v>0</v>
      </c>
      <c r="L523" s="209">
        <v>-27786.959999999999</v>
      </c>
      <c r="M523" s="209">
        <v>45279.040000000001</v>
      </c>
      <c r="N523" s="242">
        <v>40713.040000000001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-23220.959999999999</v>
      </c>
      <c r="H524" s="239"/>
      <c r="I524" s="239"/>
      <c r="J524" s="210">
        <v>-4566</v>
      </c>
      <c r="K524" s="209">
        <v>0</v>
      </c>
      <c r="L524" s="209">
        <v>-27786.959999999999</v>
      </c>
      <c r="M524" s="209">
        <v>45279.040000000001</v>
      </c>
      <c r="N524" s="242">
        <v>40713.040000000001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-23220.959999999999</v>
      </c>
      <c r="H525" s="239"/>
      <c r="I525" s="239"/>
      <c r="J525" s="210">
        <v>-4566</v>
      </c>
      <c r="K525" s="209">
        <v>0</v>
      </c>
      <c r="L525" s="209">
        <v>-27786.959999999999</v>
      </c>
      <c r="M525" s="209">
        <v>45279.040000000001</v>
      </c>
      <c r="N525" s="242">
        <v>40713.040000000001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-23220.959999999999</v>
      </c>
      <c r="H526" s="239"/>
      <c r="I526" s="239"/>
      <c r="J526" s="210">
        <v>-4566</v>
      </c>
      <c r="K526" s="209">
        <v>0</v>
      </c>
      <c r="L526" s="209">
        <v>-27786.959999999999</v>
      </c>
      <c r="M526" s="209">
        <v>45279.040000000001</v>
      </c>
      <c r="N526" s="242">
        <v>40713.040000000001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-23220.959999999999</v>
      </c>
      <c r="H527" s="239"/>
      <c r="I527" s="239"/>
      <c r="J527" s="210">
        <v>-4566</v>
      </c>
      <c r="K527" s="209">
        <v>0</v>
      </c>
      <c r="L527" s="209">
        <v>-27786.959999999999</v>
      </c>
      <c r="M527" s="209">
        <v>45279.040000000001</v>
      </c>
      <c r="N527" s="242">
        <v>40713.040000000001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-23220.959999999999</v>
      </c>
      <c r="H528" s="239"/>
      <c r="I528" s="239"/>
      <c r="J528" s="210">
        <v>-4566</v>
      </c>
      <c r="K528" s="209">
        <v>0</v>
      </c>
      <c r="L528" s="209">
        <v>-27786.959999999999</v>
      </c>
      <c r="M528" s="209">
        <v>45279.040000000001</v>
      </c>
      <c r="N528" s="242">
        <v>40713.040000000001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-23220.959999999999</v>
      </c>
      <c r="H529" s="239"/>
      <c r="I529" s="239"/>
      <c r="J529" s="210">
        <v>-4566</v>
      </c>
      <c r="K529" s="209">
        <v>0</v>
      </c>
      <c r="L529" s="209">
        <v>-27786.959999999999</v>
      </c>
      <c r="M529" s="209">
        <v>45279.040000000001</v>
      </c>
      <c r="N529" s="242">
        <v>40713.040000000001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-23220.959999999999</v>
      </c>
      <c r="H530" s="239"/>
      <c r="I530" s="239"/>
      <c r="J530" s="210">
        <v>-4566</v>
      </c>
      <c r="K530" s="209">
        <v>0</v>
      </c>
      <c r="L530" s="209">
        <v>-27786.959999999999</v>
      </c>
      <c r="M530" s="209">
        <v>45279.040000000001</v>
      </c>
      <c r="N530" s="242">
        <v>40713.040000000001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-23220.959999999999</v>
      </c>
      <c r="H531" s="239"/>
      <c r="I531" s="239"/>
      <c r="J531" s="210">
        <v>-4566</v>
      </c>
      <c r="K531" s="209">
        <v>0</v>
      </c>
      <c r="L531" s="209">
        <v>-27786.959999999999</v>
      </c>
      <c r="M531" s="209">
        <v>45279.040000000001</v>
      </c>
      <c r="N531" s="242">
        <v>40713.040000000001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-23220.959999999999</v>
      </c>
      <c r="H532" s="239"/>
      <c r="I532" s="239"/>
      <c r="J532" s="210">
        <v>-4566</v>
      </c>
      <c r="K532" s="209">
        <v>0</v>
      </c>
      <c r="L532" s="209">
        <v>-27786.959999999999</v>
      </c>
      <c r="M532" s="209">
        <v>45279.040000000001</v>
      </c>
      <c r="N532" s="242">
        <v>40713.040000000001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-32646.62</v>
      </c>
      <c r="H534" s="239"/>
      <c r="I534" s="239"/>
      <c r="J534" s="210">
        <v>-553.38</v>
      </c>
      <c r="K534" s="209">
        <v>0</v>
      </c>
      <c r="L534" s="209">
        <v>-33200</v>
      </c>
      <c r="M534" s="209">
        <v>553.38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-196175</v>
      </c>
      <c r="H535" s="239"/>
      <c r="I535" s="239"/>
      <c r="J535" s="210">
        <v>-39900</v>
      </c>
      <c r="K535" s="209">
        <v>0</v>
      </c>
      <c r="L535" s="209">
        <v>-236075</v>
      </c>
      <c r="M535" s="209">
        <v>202825</v>
      </c>
      <c r="N535" s="242">
        <v>162925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-24432.25</v>
      </c>
      <c r="H536" s="239"/>
      <c r="I536" s="239"/>
      <c r="J536" s="210">
        <v>-842.75</v>
      </c>
      <c r="K536" s="209">
        <v>0</v>
      </c>
      <c r="L536" s="209">
        <v>-25275</v>
      </c>
      <c r="M536" s="209">
        <v>842.75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-74253.16</v>
      </c>
      <c r="H537" s="239"/>
      <c r="I537" s="239"/>
      <c r="J537" s="210">
        <v>-3907.84</v>
      </c>
      <c r="K537" s="209">
        <v>0</v>
      </c>
      <c r="L537" s="209">
        <v>-78161</v>
      </c>
      <c r="M537" s="209">
        <v>3907.84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-71957.3</v>
      </c>
      <c r="H538" s="239"/>
      <c r="I538" s="239"/>
      <c r="J538" s="210">
        <v>-6542.7</v>
      </c>
      <c r="K538" s="209">
        <v>0</v>
      </c>
      <c r="L538" s="209">
        <v>-78500</v>
      </c>
      <c r="M538" s="209">
        <v>6542.7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-71984.990000000005</v>
      </c>
      <c r="H539" s="239"/>
      <c r="I539" s="239"/>
      <c r="J539" s="210">
        <v>-15998</v>
      </c>
      <c r="K539" s="209">
        <v>0</v>
      </c>
      <c r="L539" s="209">
        <v>-87982.99</v>
      </c>
      <c r="M539" s="209">
        <v>87988.21</v>
      </c>
      <c r="N539" s="242">
        <v>71990.210000000006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-20470.53</v>
      </c>
      <c r="H540" s="239"/>
      <c r="I540" s="239"/>
      <c r="J540" s="210">
        <v>-4551</v>
      </c>
      <c r="K540" s="209">
        <v>0</v>
      </c>
      <c r="L540" s="209">
        <v>-25021.53</v>
      </c>
      <c r="M540" s="209">
        <v>25029.47</v>
      </c>
      <c r="N540" s="242">
        <v>20478.47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-33849.03</v>
      </c>
      <c r="H541" s="239"/>
      <c r="I541" s="239"/>
      <c r="J541" s="210">
        <v>-7518</v>
      </c>
      <c r="K541" s="209">
        <v>0</v>
      </c>
      <c r="L541" s="209">
        <v>-41367.03</v>
      </c>
      <c r="M541" s="209">
        <v>41350.97</v>
      </c>
      <c r="N541" s="242">
        <v>33832.97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-62805</v>
      </c>
      <c r="H542" s="239"/>
      <c r="I542" s="239"/>
      <c r="J542" s="210">
        <v>-8295</v>
      </c>
      <c r="K542" s="209">
        <v>0</v>
      </c>
      <c r="L542" s="209">
        <v>-71100</v>
      </c>
      <c r="M542" s="209">
        <v>8295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-31403</v>
      </c>
      <c r="H543" s="239"/>
      <c r="I543" s="239"/>
      <c r="J543" s="210">
        <v>-4147</v>
      </c>
      <c r="K543" s="209">
        <v>0</v>
      </c>
      <c r="L543" s="209">
        <v>-35550</v>
      </c>
      <c r="M543" s="209">
        <v>4147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-31403</v>
      </c>
      <c r="H544" s="239"/>
      <c r="I544" s="239"/>
      <c r="J544" s="210">
        <v>-4147</v>
      </c>
      <c r="K544" s="209">
        <v>0</v>
      </c>
      <c r="L544" s="209">
        <v>-35550</v>
      </c>
      <c r="M544" s="209">
        <v>4147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-34500</v>
      </c>
      <c r="H545" s="239"/>
      <c r="I545" s="239"/>
      <c r="J545" s="210">
        <v>-6900</v>
      </c>
      <c r="K545" s="209">
        <v>0</v>
      </c>
      <c r="L545" s="209">
        <v>-41400</v>
      </c>
      <c r="M545" s="209">
        <v>6900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-145372.25</v>
      </c>
      <c r="H546" s="239"/>
      <c r="I546" s="239"/>
      <c r="J546" s="210">
        <v>-29074.75</v>
      </c>
      <c r="K546" s="209">
        <v>0</v>
      </c>
      <c r="L546" s="209">
        <v>-174447</v>
      </c>
      <c r="M546" s="209">
        <v>29074.75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-151680</v>
      </c>
      <c r="H586" s="239"/>
      <c r="I586" s="239"/>
      <c r="J586" s="210">
        <v>-37920</v>
      </c>
      <c r="K586" s="209">
        <v>0</v>
      </c>
      <c r="L586" s="209">
        <v>-189600</v>
      </c>
      <c r="M586" s="209">
        <v>37920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-432469.59</v>
      </c>
      <c r="H587" s="239"/>
      <c r="I587" s="239"/>
      <c r="J587" s="210">
        <v>-110041</v>
      </c>
      <c r="K587" s="209">
        <v>0</v>
      </c>
      <c r="L587" s="209">
        <v>-542510.59</v>
      </c>
      <c r="M587" s="209">
        <v>110041.1</v>
      </c>
      <c r="N587" s="242">
        <v>0.1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-196812.32</v>
      </c>
      <c r="H588" s="239"/>
      <c r="I588" s="239"/>
      <c r="J588" s="210">
        <v>-49206</v>
      </c>
      <c r="K588" s="209">
        <v>0</v>
      </c>
      <c r="L588" s="209">
        <v>-246018.32</v>
      </c>
      <c r="M588" s="209">
        <v>541266.41</v>
      </c>
      <c r="N588" s="242">
        <v>492060.41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-102573.75999999999</v>
      </c>
      <c r="H589" s="239"/>
      <c r="I589" s="239"/>
      <c r="J589" s="210">
        <v>-25641</v>
      </c>
      <c r="K589" s="209">
        <v>0</v>
      </c>
      <c r="L589" s="209">
        <v>-128214.76</v>
      </c>
      <c r="M589" s="209">
        <v>25641.24</v>
      </c>
      <c r="N589" s="242">
        <v>0.24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-7102.38</v>
      </c>
      <c r="H590" s="239"/>
      <c r="I590" s="239"/>
      <c r="J590" s="210">
        <v>-1817</v>
      </c>
      <c r="K590" s="209">
        <v>0</v>
      </c>
      <c r="L590" s="209">
        <v>-8919.3799999999992</v>
      </c>
      <c r="M590" s="209">
        <v>1968.74</v>
      </c>
      <c r="N590" s="242">
        <v>151.74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-20770.759999999998</v>
      </c>
      <c r="H591" s="239"/>
      <c r="I591" s="239"/>
      <c r="J591" s="210">
        <v>-5300</v>
      </c>
      <c r="K591" s="209">
        <v>0</v>
      </c>
      <c r="L591" s="209">
        <v>-26070.76</v>
      </c>
      <c r="M591" s="209">
        <v>5742.22</v>
      </c>
      <c r="N591" s="242">
        <v>442.22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-49423</v>
      </c>
      <c r="H592" s="239"/>
      <c r="I592" s="239"/>
      <c r="J592" s="210">
        <v>-13182</v>
      </c>
      <c r="K592" s="209">
        <v>0</v>
      </c>
      <c r="L592" s="209">
        <v>-62605</v>
      </c>
      <c r="M592" s="209">
        <v>16477</v>
      </c>
      <c r="N592" s="242">
        <v>3295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-29625</v>
      </c>
      <c r="H593" s="239"/>
      <c r="I593" s="239"/>
      <c r="J593" s="210">
        <v>-7902</v>
      </c>
      <c r="K593" s="209">
        <v>0</v>
      </c>
      <c r="L593" s="209">
        <v>-37527</v>
      </c>
      <c r="M593" s="209">
        <v>9877.5</v>
      </c>
      <c r="N593" s="242">
        <v>1975.5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-94705</v>
      </c>
      <c r="H594" s="239"/>
      <c r="I594" s="239"/>
      <c r="J594" s="210">
        <v>-27716</v>
      </c>
      <c r="K594" s="209">
        <v>0</v>
      </c>
      <c r="L594" s="209">
        <v>-122421</v>
      </c>
      <c r="M594" s="209">
        <v>182461</v>
      </c>
      <c r="N594" s="242">
        <v>154745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-56410</v>
      </c>
      <c r="H595" s="239"/>
      <c r="I595" s="239"/>
      <c r="J595" s="210">
        <v>-16506</v>
      </c>
      <c r="K595" s="209">
        <v>0</v>
      </c>
      <c r="L595" s="209">
        <v>-72916</v>
      </c>
      <c r="M595" s="209">
        <v>26135</v>
      </c>
      <c r="N595" s="242">
        <v>9629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-200695</v>
      </c>
      <c r="H596" s="239"/>
      <c r="I596" s="239"/>
      <c r="J596" s="210">
        <v>-58740</v>
      </c>
      <c r="K596" s="209">
        <v>0</v>
      </c>
      <c r="L596" s="209">
        <v>-259435</v>
      </c>
      <c r="M596" s="209">
        <v>386705</v>
      </c>
      <c r="N596" s="242">
        <v>327965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-140354</v>
      </c>
      <c r="H597" s="239"/>
      <c r="I597" s="239"/>
      <c r="J597" s="210">
        <v>-41082</v>
      </c>
      <c r="K597" s="209">
        <v>0</v>
      </c>
      <c r="L597" s="209">
        <v>-181436</v>
      </c>
      <c r="M597" s="209">
        <v>65046</v>
      </c>
      <c r="N597" s="242">
        <v>23964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-35805</v>
      </c>
      <c r="H598" s="239"/>
      <c r="I598" s="239"/>
      <c r="J598" s="210">
        <v>-10744</v>
      </c>
      <c r="K598" s="209">
        <v>0</v>
      </c>
      <c r="L598" s="209">
        <v>-46549</v>
      </c>
      <c r="M598" s="209">
        <v>125352.5</v>
      </c>
      <c r="N598" s="242">
        <v>114608.5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-35805</v>
      </c>
      <c r="H599" s="239"/>
      <c r="I599" s="239"/>
      <c r="J599" s="210">
        <v>-10744</v>
      </c>
      <c r="K599" s="209">
        <v>0</v>
      </c>
      <c r="L599" s="209">
        <v>-46549</v>
      </c>
      <c r="M599" s="209">
        <v>125352.5</v>
      </c>
      <c r="N599" s="242">
        <v>114608.5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-35805</v>
      </c>
      <c r="H600" s="239"/>
      <c r="I600" s="239"/>
      <c r="J600" s="210">
        <v>-10744</v>
      </c>
      <c r="K600" s="209">
        <v>0</v>
      </c>
      <c r="L600" s="209">
        <v>-46549</v>
      </c>
      <c r="M600" s="209">
        <v>125352.5</v>
      </c>
      <c r="N600" s="242">
        <v>114608.5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-35805</v>
      </c>
      <c r="H601" s="239"/>
      <c r="I601" s="239"/>
      <c r="J601" s="210">
        <v>-10744</v>
      </c>
      <c r="K601" s="209">
        <v>0</v>
      </c>
      <c r="L601" s="209">
        <v>-46549</v>
      </c>
      <c r="M601" s="209">
        <v>125352.5</v>
      </c>
      <c r="N601" s="242">
        <v>114608.5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-35805</v>
      </c>
      <c r="H602" s="239"/>
      <c r="I602" s="239"/>
      <c r="J602" s="210">
        <v>-10744</v>
      </c>
      <c r="K602" s="209">
        <v>0</v>
      </c>
      <c r="L602" s="209">
        <v>-46549</v>
      </c>
      <c r="M602" s="209">
        <v>125352.5</v>
      </c>
      <c r="N602" s="242">
        <v>114608.5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-35805</v>
      </c>
      <c r="H603" s="239"/>
      <c r="I603" s="239"/>
      <c r="J603" s="210">
        <v>-10744</v>
      </c>
      <c r="K603" s="209">
        <v>0</v>
      </c>
      <c r="L603" s="209">
        <v>-46549</v>
      </c>
      <c r="M603" s="209">
        <v>125352.5</v>
      </c>
      <c r="N603" s="242">
        <v>114608.5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-35805</v>
      </c>
      <c r="H604" s="239"/>
      <c r="I604" s="239"/>
      <c r="J604" s="210">
        <v>-10744</v>
      </c>
      <c r="K604" s="209">
        <v>0</v>
      </c>
      <c r="L604" s="209">
        <v>-46549</v>
      </c>
      <c r="M604" s="209">
        <v>125352.5</v>
      </c>
      <c r="N604" s="242">
        <v>114608.5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-35805</v>
      </c>
      <c r="H605" s="239"/>
      <c r="I605" s="239"/>
      <c r="J605" s="210">
        <v>-10744</v>
      </c>
      <c r="K605" s="209">
        <v>0</v>
      </c>
      <c r="L605" s="209">
        <v>-46549</v>
      </c>
      <c r="M605" s="209">
        <v>125352.5</v>
      </c>
      <c r="N605" s="242">
        <v>114608.5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-679836</v>
      </c>
      <c r="H606" s="239"/>
      <c r="I606" s="239"/>
      <c r="J606" s="210">
        <v>-214686</v>
      </c>
      <c r="K606" s="209">
        <v>0</v>
      </c>
      <c r="L606" s="209">
        <v>-894522</v>
      </c>
      <c r="M606" s="209">
        <v>2540451.21</v>
      </c>
      <c r="N606" s="242">
        <v>2325765.21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-25770</v>
      </c>
      <c r="H607" s="239"/>
      <c r="I607" s="239"/>
      <c r="J607" s="210">
        <v>-8141</v>
      </c>
      <c r="K607" s="209">
        <v>0</v>
      </c>
      <c r="L607" s="209">
        <v>-33911</v>
      </c>
      <c r="M607" s="209">
        <v>14926</v>
      </c>
      <c r="N607" s="242">
        <v>6785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-54739</v>
      </c>
      <c r="H608" s="239"/>
      <c r="I608" s="239"/>
      <c r="J608" s="210">
        <v>-17754</v>
      </c>
      <c r="K608" s="209">
        <v>0</v>
      </c>
      <c r="L608" s="209">
        <v>-72493</v>
      </c>
      <c r="M608" s="209">
        <v>122798.63</v>
      </c>
      <c r="N608" s="242">
        <v>105044.63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-59200</v>
      </c>
      <c r="H609" s="239"/>
      <c r="I609" s="239"/>
      <c r="J609" s="210">
        <v>-19200</v>
      </c>
      <c r="K609" s="209">
        <v>0</v>
      </c>
      <c r="L609" s="209">
        <v>-78400</v>
      </c>
      <c r="M609" s="209">
        <v>36800</v>
      </c>
      <c r="N609" s="242">
        <v>17600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-84661</v>
      </c>
      <c r="H610" s="239"/>
      <c r="I610" s="239"/>
      <c r="J610" s="210">
        <v>-27461</v>
      </c>
      <c r="K610" s="209">
        <v>0</v>
      </c>
      <c r="L610" s="209">
        <v>-112122</v>
      </c>
      <c r="M610" s="209">
        <v>189939</v>
      </c>
      <c r="N610" s="242">
        <v>162478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-336323</v>
      </c>
      <c r="H611" s="239"/>
      <c r="I611" s="239"/>
      <c r="J611" s="210">
        <v>-109074</v>
      </c>
      <c r="K611" s="209">
        <v>0</v>
      </c>
      <c r="L611" s="209">
        <v>-445397</v>
      </c>
      <c r="M611" s="209">
        <v>209058</v>
      </c>
      <c r="N611" s="242">
        <v>99984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-98954</v>
      </c>
      <c r="H612" s="239"/>
      <c r="I612" s="239"/>
      <c r="J612" s="210">
        <v>-32094</v>
      </c>
      <c r="K612" s="209">
        <v>0</v>
      </c>
      <c r="L612" s="209">
        <v>-131048</v>
      </c>
      <c r="M612" s="209">
        <v>221983.43</v>
      </c>
      <c r="N612" s="242">
        <v>189889.43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-97493</v>
      </c>
      <c r="H613" s="239"/>
      <c r="I613" s="239"/>
      <c r="J613" s="210">
        <v>-32501</v>
      </c>
      <c r="K613" s="209">
        <v>0</v>
      </c>
      <c r="L613" s="209">
        <v>-129994</v>
      </c>
      <c r="M613" s="209">
        <v>227507</v>
      </c>
      <c r="N613" s="242">
        <v>195006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-92996</v>
      </c>
      <c r="H614" s="239"/>
      <c r="I614" s="239"/>
      <c r="J614" s="210">
        <v>-31002</v>
      </c>
      <c r="K614" s="209">
        <v>0</v>
      </c>
      <c r="L614" s="209">
        <v>-123998</v>
      </c>
      <c r="M614" s="209">
        <v>62004</v>
      </c>
      <c r="N614" s="242">
        <v>31002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-45796</v>
      </c>
      <c r="H615" s="239"/>
      <c r="I615" s="239"/>
      <c r="J615" s="210">
        <v>-15267</v>
      </c>
      <c r="K615" s="209">
        <v>0</v>
      </c>
      <c r="L615" s="209">
        <v>-61063</v>
      </c>
      <c r="M615" s="209">
        <v>30534.42</v>
      </c>
      <c r="N615" s="242">
        <v>15267.42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-55504</v>
      </c>
      <c r="H616" s="239"/>
      <c r="I616" s="239"/>
      <c r="J616" s="210">
        <v>-18498</v>
      </c>
      <c r="K616" s="209">
        <v>0</v>
      </c>
      <c r="L616" s="209">
        <v>-74002</v>
      </c>
      <c r="M616" s="209">
        <v>36996</v>
      </c>
      <c r="N616" s="242">
        <v>18498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-34456</v>
      </c>
      <c r="H617" s="239"/>
      <c r="I617" s="239"/>
      <c r="J617" s="210">
        <v>-11488</v>
      </c>
      <c r="K617" s="209">
        <v>0</v>
      </c>
      <c r="L617" s="209">
        <v>-45944</v>
      </c>
      <c r="M617" s="209">
        <v>137855.5</v>
      </c>
      <c r="N617" s="242">
        <v>126367.5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-178455</v>
      </c>
      <c r="H618" s="239"/>
      <c r="I618" s="239"/>
      <c r="J618" s="210">
        <v>-59487</v>
      </c>
      <c r="K618" s="209">
        <v>0</v>
      </c>
      <c r="L618" s="209">
        <v>-237942</v>
      </c>
      <c r="M618" s="209">
        <v>416409</v>
      </c>
      <c r="N618" s="242">
        <v>356922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-31469</v>
      </c>
      <c r="H619" s="239"/>
      <c r="I619" s="239"/>
      <c r="J619" s="210">
        <v>-10492</v>
      </c>
      <c r="K619" s="209">
        <v>0</v>
      </c>
      <c r="L619" s="209">
        <v>-41961</v>
      </c>
      <c r="M619" s="209">
        <v>73446</v>
      </c>
      <c r="N619" s="242">
        <v>62954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-30273</v>
      </c>
      <c r="H620" s="239"/>
      <c r="I620" s="239"/>
      <c r="J620" s="210">
        <v>-10090</v>
      </c>
      <c r="K620" s="209">
        <v>0</v>
      </c>
      <c r="L620" s="209">
        <v>-40363</v>
      </c>
      <c r="M620" s="209">
        <v>70628</v>
      </c>
      <c r="N620" s="242">
        <v>60538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-105120</v>
      </c>
      <c r="H621" s="239"/>
      <c r="I621" s="239"/>
      <c r="J621" s="210">
        <v>-35040</v>
      </c>
      <c r="K621" s="209">
        <v>0</v>
      </c>
      <c r="L621" s="209">
        <v>-140160</v>
      </c>
      <c r="M621" s="209">
        <v>420480</v>
      </c>
      <c r="N621" s="242">
        <v>385440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-813803</v>
      </c>
      <c r="H622" s="239"/>
      <c r="I622" s="239"/>
      <c r="J622" s="210">
        <v>-271266</v>
      </c>
      <c r="K622" s="209">
        <v>0</v>
      </c>
      <c r="L622" s="209">
        <v>-1085069</v>
      </c>
      <c r="M622" s="209">
        <v>1898862.38</v>
      </c>
      <c r="N622" s="242">
        <v>1627596.38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-56004</v>
      </c>
      <c r="H623" s="239"/>
      <c r="I623" s="239"/>
      <c r="J623" s="210">
        <v>-20366</v>
      </c>
      <c r="K623" s="209">
        <v>0</v>
      </c>
      <c r="L623" s="209">
        <v>-76370</v>
      </c>
      <c r="M623" s="209">
        <v>147657.54999999999</v>
      </c>
      <c r="N623" s="242">
        <v>127291.55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-183121</v>
      </c>
      <c r="H624" s="239"/>
      <c r="I624" s="239"/>
      <c r="J624" s="210">
        <v>-66592</v>
      </c>
      <c r="K624" s="209">
        <v>0</v>
      </c>
      <c r="L624" s="209">
        <v>-249713</v>
      </c>
      <c r="M624" s="209">
        <v>815749.5</v>
      </c>
      <c r="N624" s="242">
        <v>749157.5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-48579</v>
      </c>
      <c r="H625" s="239"/>
      <c r="I625" s="239"/>
      <c r="J625" s="210">
        <v>-18219</v>
      </c>
      <c r="K625" s="209">
        <v>0</v>
      </c>
      <c r="L625" s="209">
        <v>-66798</v>
      </c>
      <c r="M625" s="209">
        <v>42511</v>
      </c>
      <c r="N625" s="242">
        <v>24292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-168000</v>
      </c>
      <c r="H626" s="239"/>
      <c r="I626" s="239"/>
      <c r="J626" s="210">
        <v>-63000</v>
      </c>
      <c r="K626" s="209">
        <v>0</v>
      </c>
      <c r="L626" s="209">
        <v>-231000</v>
      </c>
      <c r="M626" s="209">
        <v>147000</v>
      </c>
      <c r="N626" s="242">
        <v>84000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-96438</v>
      </c>
      <c r="H627" s="239"/>
      <c r="I627" s="239"/>
      <c r="J627" s="210">
        <v>-44511</v>
      </c>
      <c r="K627" s="209">
        <v>0</v>
      </c>
      <c r="L627" s="209">
        <v>-140949</v>
      </c>
      <c r="M627" s="209">
        <v>571230</v>
      </c>
      <c r="N627" s="242">
        <v>526719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-117208</v>
      </c>
      <c r="H628" s="239"/>
      <c r="I628" s="239"/>
      <c r="J628" s="210">
        <v>-54096</v>
      </c>
      <c r="K628" s="209">
        <v>0</v>
      </c>
      <c r="L628" s="209">
        <v>-171304</v>
      </c>
      <c r="M628" s="209">
        <v>694234.7</v>
      </c>
      <c r="N628" s="242">
        <v>640138.69999999995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-17713</v>
      </c>
      <c r="H629" s="239"/>
      <c r="I629" s="239"/>
      <c r="J629" s="210">
        <v>-8178</v>
      </c>
      <c r="K629" s="209">
        <v>0</v>
      </c>
      <c r="L629" s="209">
        <v>-25891</v>
      </c>
      <c r="M629" s="209">
        <v>23171</v>
      </c>
      <c r="N629" s="242">
        <v>14993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-13950</v>
      </c>
      <c r="H630" s="239"/>
      <c r="I630" s="239"/>
      <c r="J630" s="210">
        <v>-6696</v>
      </c>
      <c r="K630" s="209">
        <v>0</v>
      </c>
      <c r="L630" s="209">
        <v>-20646</v>
      </c>
      <c r="M630" s="209">
        <v>19530</v>
      </c>
      <c r="N630" s="242">
        <v>12834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-24436</v>
      </c>
      <c r="H631" s="239"/>
      <c r="I631" s="239"/>
      <c r="J631" s="210">
        <v>-11730</v>
      </c>
      <c r="K631" s="209">
        <v>0</v>
      </c>
      <c r="L631" s="209">
        <v>-36166</v>
      </c>
      <c r="M631" s="209">
        <v>34212.75</v>
      </c>
      <c r="N631" s="242">
        <v>22482.75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-46226</v>
      </c>
      <c r="H632" s="239"/>
      <c r="I632" s="239"/>
      <c r="J632" s="210">
        <v>-22188</v>
      </c>
      <c r="K632" s="209">
        <v>0</v>
      </c>
      <c r="L632" s="209">
        <v>-68414</v>
      </c>
      <c r="M632" s="209">
        <v>286603.59999999998</v>
      </c>
      <c r="N632" s="242">
        <v>264415.59999999998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-291994</v>
      </c>
      <c r="H633" s="239"/>
      <c r="I633" s="239"/>
      <c r="J633" s="210">
        <v>-140155</v>
      </c>
      <c r="K633" s="209">
        <v>0</v>
      </c>
      <c r="L633" s="209">
        <v>-432149</v>
      </c>
      <c r="M633" s="209">
        <v>1810333</v>
      </c>
      <c r="N633" s="242">
        <v>1670178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-113469</v>
      </c>
      <c r="H634" s="239"/>
      <c r="I634" s="239"/>
      <c r="J634" s="210">
        <v>-54462</v>
      </c>
      <c r="K634" s="209">
        <v>0</v>
      </c>
      <c r="L634" s="209">
        <v>-167931</v>
      </c>
      <c r="M634" s="209">
        <v>703468</v>
      </c>
      <c r="N634" s="242">
        <v>649006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-70777</v>
      </c>
      <c r="H635" s="239"/>
      <c r="I635" s="239"/>
      <c r="J635" s="210">
        <v>-33974</v>
      </c>
      <c r="K635" s="209">
        <v>0</v>
      </c>
      <c r="L635" s="209">
        <v>-104751</v>
      </c>
      <c r="M635" s="209">
        <v>438831</v>
      </c>
      <c r="N635" s="242">
        <v>404857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-58198</v>
      </c>
      <c r="H636" s="239"/>
      <c r="I636" s="239"/>
      <c r="J636" s="210">
        <v>-27934</v>
      </c>
      <c r="K636" s="209">
        <v>0</v>
      </c>
      <c r="L636" s="209">
        <v>-86132</v>
      </c>
      <c r="M636" s="209">
        <v>360817.67</v>
      </c>
      <c r="N636" s="242">
        <v>332883.67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-56926</v>
      </c>
      <c r="H637" s="239"/>
      <c r="I637" s="239"/>
      <c r="J637" s="210">
        <v>-27325</v>
      </c>
      <c r="K637" s="209">
        <v>0</v>
      </c>
      <c r="L637" s="209">
        <v>-84251</v>
      </c>
      <c r="M637" s="209">
        <v>79698.75</v>
      </c>
      <c r="N637" s="242">
        <v>52373.75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-64779</v>
      </c>
      <c r="H638" s="239"/>
      <c r="I638" s="239"/>
      <c r="J638" s="210">
        <v>-32391</v>
      </c>
      <c r="K638" s="209">
        <v>0</v>
      </c>
      <c r="L638" s="209">
        <v>-97170</v>
      </c>
      <c r="M638" s="209">
        <v>259125</v>
      </c>
      <c r="N638" s="242">
        <v>226734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-262662</v>
      </c>
      <c r="H639" s="239"/>
      <c r="I639" s="239"/>
      <c r="J639" s="210">
        <v>-131334</v>
      </c>
      <c r="K639" s="209">
        <v>0</v>
      </c>
      <c r="L639" s="209">
        <v>-393996</v>
      </c>
      <c r="M639" s="209">
        <v>1050672.25</v>
      </c>
      <c r="N639" s="242">
        <v>919338.25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-30964</v>
      </c>
      <c r="H640" s="239"/>
      <c r="I640" s="239"/>
      <c r="J640" s="210">
        <v>-15483</v>
      </c>
      <c r="K640" s="209">
        <v>0</v>
      </c>
      <c r="L640" s="209">
        <v>-46447</v>
      </c>
      <c r="M640" s="209">
        <v>46450.43</v>
      </c>
      <c r="N640" s="242">
        <v>30967.43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-55562</v>
      </c>
      <c r="H641" s="239"/>
      <c r="I641" s="239"/>
      <c r="J641" s="210">
        <v>-27781</v>
      </c>
      <c r="K641" s="209">
        <v>0</v>
      </c>
      <c r="L641" s="209">
        <v>-83343</v>
      </c>
      <c r="M641" s="209">
        <v>222252.5</v>
      </c>
      <c r="N641" s="242">
        <v>194471.5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-15505</v>
      </c>
      <c r="H642" s="239"/>
      <c r="I642" s="239"/>
      <c r="J642" s="210">
        <v>-7754</v>
      </c>
      <c r="K642" s="209">
        <v>0</v>
      </c>
      <c r="L642" s="209">
        <v>-23259</v>
      </c>
      <c r="M642" s="209">
        <v>62026.18</v>
      </c>
      <c r="N642" s="242">
        <v>54272.18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-7678</v>
      </c>
      <c r="H643" s="239"/>
      <c r="I643" s="239"/>
      <c r="J643" s="210">
        <v>-3838</v>
      </c>
      <c r="K643" s="209">
        <v>0</v>
      </c>
      <c r="L643" s="209">
        <v>-11516</v>
      </c>
      <c r="M643" s="209">
        <v>30705.25</v>
      </c>
      <c r="N643" s="242">
        <v>26867.25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-55111</v>
      </c>
      <c r="H644" s="239"/>
      <c r="I644" s="239"/>
      <c r="J644" s="210">
        <v>-30062</v>
      </c>
      <c r="K644" s="209">
        <v>0</v>
      </c>
      <c r="L644" s="209">
        <v>-85173</v>
      </c>
      <c r="M644" s="209">
        <v>95194.8</v>
      </c>
      <c r="N644" s="242">
        <v>65132.800000000003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-69652</v>
      </c>
      <c r="H645" s="239"/>
      <c r="I645" s="239"/>
      <c r="J645" s="210">
        <v>-39799</v>
      </c>
      <c r="K645" s="209">
        <v>0</v>
      </c>
      <c r="L645" s="209">
        <v>-109451</v>
      </c>
      <c r="M645" s="209">
        <v>129348</v>
      </c>
      <c r="N645" s="242">
        <v>89549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-36303</v>
      </c>
      <c r="H646" s="239"/>
      <c r="I646" s="239"/>
      <c r="J646" s="210">
        <v>-20742</v>
      </c>
      <c r="K646" s="209">
        <v>0</v>
      </c>
      <c r="L646" s="209">
        <v>-57045</v>
      </c>
      <c r="M646" s="209">
        <v>67412.62</v>
      </c>
      <c r="N646" s="242">
        <v>46670.62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-82045</v>
      </c>
      <c r="H647" s="239"/>
      <c r="I647" s="239"/>
      <c r="J647" s="210">
        <v>-46882</v>
      </c>
      <c r="K647" s="209">
        <v>0</v>
      </c>
      <c r="L647" s="209">
        <v>-128927</v>
      </c>
      <c r="M647" s="209">
        <v>386779</v>
      </c>
      <c r="N647" s="242">
        <v>339897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-6248</v>
      </c>
      <c r="H648" s="239"/>
      <c r="I648" s="239"/>
      <c r="J648" s="210">
        <v>-3570</v>
      </c>
      <c r="K648" s="209">
        <v>0</v>
      </c>
      <c r="L648" s="209">
        <v>-9818</v>
      </c>
      <c r="M648" s="209">
        <v>29452</v>
      </c>
      <c r="N648" s="242">
        <v>25882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-27720</v>
      </c>
      <c r="H649" s="239"/>
      <c r="I649" s="239"/>
      <c r="J649" s="210">
        <v>-15840</v>
      </c>
      <c r="K649" s="209">
        <v>0</v>
      </c>
      <c r="L649" s="209">
        <v>-43560</v>
      </c>
      <c r="M649" s="209">
        <v>130680</v>
      </c>
      <c r="N649" s="242">
        <v>114840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-17498</v>
      </c>
      <c r="H650" s="239"/>
      <c r="I650" s="239"/>
      <c r="J650" s="210">
        <v>-10000</v>
      </c>
      <c r="K650" s="209">
        <v>0</v>
      </c>
      <c r="L650" s="209">
        <v>-27498</v>
      </c>
      <c r="M650" s="209">
        <v>132502</v>
      </c>
      <c r="N650" s="242">
        <v>122502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-104784</v>
      </c>
      <c r="H651" s="239"/>
      <c r="I651" s="239"/>
      <c r="J651" s="210">
        <v>-59874</v>
      </c>
      <c r="K651" s="209">
        <v>0</v>
      </c>
      <c r="L651" s="209">
        <v>-164658</v>
      </c>
      <c r="M651" s="209">
        <v>493962.98</v>
      </c>
      <c r="N651" s="242">
        <v>434088.98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-67759</v>
      </c>
      <c r="H652" s="239"/>
      <c r="I652" s="239"/>
      <c r="J652" s="210">
        <v>-42796</v>
      </c>
      <c r="K652" s="209">
        <v>0</v>
      </c>
      <c r="L652" s="209">
        <v>-110555</v>
      </c>
      <c r="M652" s="209">
        <v>360201</v>
      </c>
      <c r="N652" s="242">
        <v>317405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-151880</v>
      </c>
      <c r="H653" s="239"/>
      <c r="I653" s="239"/>
      <c r="J653" s="210">
        <v>-95922</v>
      </c>
      <c r="K653" s="209">
        <v>0</v>
      </c>
      <c r="L653" s="209">
        <v>-247802</v>
      </c>
      <c r="M653" s="209">
        <v>327734.84999999998</v>
      </c>
      <c r="N653" s="242">
        <v>231812.85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-41998</v>
      </c>
      <c r="H654" s="239"/>
      <c r="I654" s="239"/>
      <c r="J654" s="210">
        <v>-28001</v>
      </c>
      <c r="K654" s="209">
        <v>0</v>
      </c>
      <c r="L654" s="209">
        <v>-69999</v>
      </c>
      <c r="M654" s="209">
        <v>378002</v>
      </c>
      <c r="N654" s="242">
        <v>350001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-113863</v>
      </c>
      <c r="H655" s="239"/>
      <c r="I655" s="239"/>
      <c r="J655" s="210">
        <v>-91089</v>
      </c>
      <c r="K655" s="209">
        <v>0</v>
      </c>
      <c r="L655" s="209">
        <v>-204952</v>
      </c>
      <c r="M655" s="209">
        <v>341586</v>
      </c>
      <c r="N655" s="242">
        <v>250497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-46471</v>
      </c>
      <c r="H656" s="239"/>
      <c r="I656" s="239"/>
      <c r="J656" s="210">
        <v>-37177</v>
      </c>
      <c r="K656" s="209">
        <v>0</v>
      </c>
      <c r="L656" s="209">
        <v>-83648</v>
      </c>
      <c r="M656" s="209">
        <v>139414</v>
      </c>
      <c r="N656" s="242">
        <v>102237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-84406</v>
      </c>
      <c r="H657" s="239"/>
      <c r="I657" s="239"/>
      <c r="J657" s="210">
        <v>-67525</v>
      </c>
      <c r="K657" s="209">
        <v>0</v>
      </c>
      <c r="L657" s="209">
        <v>-151931</v>
      </c>
      <c r="M657" s="209">
        <v>590841.9</v>
      </c>
      <c r="N657" s="242">
        <v>523316.9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-21349</v>
      </c>
      <c r="H658" s="239"/>
      <c r="I658" s="239"/>
      <c r="J658" s="210">
        <v>-17081</v>
      </c>
      <c r="K658" s="209">
        <v>0</v>
      </c>
      <c r="L658" s="209">
        <v>-38430</v>
      </c>
      <c r="M658" s="209">
        <v>64051</v>
      </c>
      <c r="N658" s="242">
        <v>46970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-27805</v>
      </c>
      <c r="H659" s="239"/>
      <c r="I659" s="239"/>
      <c r="J659" s="210">
        <v>-22244</v>
      </c>
      <c r="K659" s="209">
        <v>0</v>
      </c>
      <c r="L659" s="209">
        <v>-50049</v>
      </c>
      <c r="M659" s="209">
        <v>83413.45</v>
      </c>
      <c r="N659" s="242">
        <v>61169.45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-36149</v>
      </c>
      <c r="H660" s="239"/>
      <c r="I660" s="239"/>
      <c r="J660" s="210">
        <v>-30986</v>
      </c>
      <c r="K660" s="209">
        <v>0</v>
      </c>
      <c r="L660" s="209">
        <v>-67135</v>
      </c>
      <c r="M660" s="209">
        <v>273704.21000000002</v>
      </c>
      <c r="N660" s="242">
        <v>242718.21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-29558</v>
      </c>
      <c r="H661" s="239"/>
      <c r="I661" s="239"/>
      <c r="J661" s="210">
        <v>-25336</v>
      </c>
      <c r="K661" s="209">
        <v>0</v>
      </c>
      <c r="L661" s="209">
        <v>-54894</v>
      </c>
      <c r="M661" s="209">
        <v>223797.85</v>
      </c>
      <c r="N661" s="242">
        <v>198461.85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-3260619.44</v>
      </c>
      <c r="H743" s="239"/>
      <c r="I743" s="239"/>
      <c r="J743" s="210">
        <v>-247701</v>
      </c>
      <c r="K743" s="209">
        <v>0</v>
      </c>
      <c r="L743" s="209">
        <v>-3508320.44</v>
      </c>
      <c r="M743" s="209">
        <v>743104.06</v>
      </c>
      <c r="N743" s="242">
        <v>495403.06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-1271189.52</v>
      </c>
      <c r="H769" s="239"/>
      <c r="I769" s="239"/>
      <c r="J769" s="210">
        <v>-96570</v>
      </c>
      <c r="K769" s="209">
        <v>0</v>
      </c>
      <c r="L769" s="209">
        <v>-1367759.52</v>
      </c>
      <c r="M769" s="209">
        <v>579419.72</v>
      </c>
      <c r="N769" s="242">
        <v>482849.72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-2407340.39</v>
      </c>
      <c r="H798" s="239"/>
      <c r="I798" s="239"/>
      <c r="J798" s="210">
        <v>-200610</v>
      </c>
      <c r="K798" s="209">
        <v>0</v>
      </c>
      <c r="L798" s="209">
        <v>-2607950.39</v>
      </c>
      <c r="M798" s="209">
        <v>601829.61</v>
      </c>
      <c r="N798" s="242">
        <v>401219.61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-836799.93</v>
      </c>
      <c r="H843" s="239"/>
      <c r="I843" s="239"/>
      <c r="J843" s="210">
        <v>-7.0000000000000007E-2</v>
      </c>
      <c r="K843" s="209">
        <v>0</v>
      </c>
      <c r="L843" s="209">
        <v>-836800</v>
      </c>
      <c r="M843" s="209">
        <v>7.0000000000000007E-2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-49981.4</v>
      </c>
      <c r="H846" s="239"/>
      <c r="I846" s="239"/>
      <c r="J846" s="210">
        <v>-1282.5999999999999</v>
      </c>
      <c r="K846" s="209">
        <v>0</v>
      </c>
      <c r="L846" s="209">
        <v>-51264</v>
      </c>
      <c r="M846" s="209">
        <v>1282.5999999999999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-407422</v>
      </c>
      <c r="H850" s="239"/>
      <c r="I850" s="239"/>
      <c r="J850" s="210">
        <v>-25238</v>
      </c>
      <c r="K850" s="209">
        <v>0</v>
      </c>
      <c r="L850" s="209">
        <v>-432660</v>
      </c>
      <c r="M850" s="209">
        <v>25238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-7302669.9100000001</v>
      </c>
      <c r="H860" s="239"/>
      <c r="I860" s="239"/>
      <c r="J860" s="210">
        <v>-811410</v>
      </c>
      <c r="K860" s="209">
        <v>0</v>
      </c>
      <c r="L860" s="209">
        <v>-8114079.9100000001</v>
      </c>
      <c r="M860" s="209">
        <v>811410.09</v>
      </c>
      <c r="N860" s="242">
        <v>0.09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-853863.91</v>
      </c>
      <c r="H861" s="239"/>
      <c r="I861" s="239"/>
      <c r="J861" s="210">
        <v>-94876.97</v>
      </c>
      <c r="K861" s="209">
        <v>0</v>
      </c>
      <c r="L861" s="209">
        <v>-948740.88</v>
      </c>
      <c r="M861" s="209">
        <v>94876.97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-91887708.989999995</v>
      </c>
      <c r="H862" s="244"/>
      <c r="I862" s="244"/>
      <c r="J862" s="208">
        <v>-7204156.7999999998</v>
      </c>
      <c r="K862" s="207">
        <v>0</v>
      </c>
      <c r="L862" s="207">
        <v>-99091865.790000007</v>
      </c>
      <c r="M862" s="207">
        <v>42081365.939999998</v>
      </c>
      <c r="N862" s="245">
        <v>34877209.140000001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-223349308.88</v>
      </c>
      <c r="H871" s="239"/>
      <c r="I871" s="239"/>
      <c r="J871" s="202">
        <v>-12953362.48</v>
      </c>
      <c r="K871" s="201">
        <v>0</v>
      </c>
      <c r="L871" s="201">
        <v>-236302671.36000001</v>
      </c>
      <c r="M871" s="201">
        <v>62476417.350000001</v>
      </c>
      <c r="N871" s="253">
        <v>49523054.869999997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FDC4-BEEC-4476-B641-B7E0FCB7AD5A}">
  <dimension ref="A1:O872"/>
  <sheetViews>
    <sheetView showGridLines="0" workbookViewId="0">
      <pane ySplit="15" topLeftCell="A854" activePane="bottomLeft" state="frozen"/>
      <selection pane="bottomLeft" activeCell="J4" sqref="J1:J1048576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1808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1805</v>
      </c>
      <c r="D14" s="212" t="s">
        <v>162</v>
      </c>
      <c r="E14" s="212" t="s">
        <v>163</v>
      </c>
      <c r="F14" s="212" t="s">
        <v>1809</v>
      </c>
      <c r="G14" s="251" t="s">
        <v>1806</v>
      </c>
      <c r="H14" s="239"/>
      <c r="I14" s="239"/>
      <c r="J14" s="213" t="s">
        <v>166</v>
      </c>
      <c r="K14" s="212" t="s">
        <v>167</v>
      </c>
      <c r="L14" s="212" t="s">
        <v>1810</v>
      </c>
      <c r="M14" s="212" t="s">
        <v>1807</v>
      </c>
      <c r="N14" s="251" t="s">
        <v>1811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-1698414.11</v>
      </c>
      <c r="H18" s="239"/>
      <c r="I18" s="239"/>
      <c r="J18" s="210">
        <v>-76333</v>
      </c>
      <c r="K18" s="209">
        <v>0</v>
      </c>
      <c r="L18" s="209">
        <v>-1774747.11</v>
      </c>
      <c r="M18" s="209">
        <v>591585.89</v>
      </c>
      <c r="N18" s="242">
        <v>515252.89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-882551.39</v>
      </c>
      <c r="H19" s="239"/>
      <c r="I19" s="239"/>
      <c r="J19" s="210">
        <v>-46448.61</v>
      </c>
      <c r="K19" s="209">
        <v>0</v>
      </c>
      <c r="L19" s="209">
        <v>-929000</v>
      </c>
      <c r="M19" s="209">
        <v>46448.61</v>
      </c>
      <c r="N19" s="242">
        <v>0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-218497.89</v>
      </c>
      <c r="H20" s="239"/>
      <c r="I20" s="239"/>
      <c r="J20" s="210">
        <v>-11502</v>
      </c>
      <c r="K20" s="209">
        <v>0</v>
      </c>
      <c r="L20" s="209">
        <v>-229999.89</v>
      </c>
      <c r="M20" s="209">
        <v>11502.11</v>
      </c>
      <c r="N20" s="242">
        <v>0.11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-920550.5</v>
      </c>
      <c r="H21" s="239"/>
      <c r="I21" s="239"/>
      <c r="J21" s="210">
        <v>-48449.5</v>
      </c>
      <c r="K21" s="209">
        <v>0</v>
      </c>
      <c r="L21" s="209">
        <v>-969000</v>
      </c>
      <c r="M21" s="209">
        <v>48449.5</v>
      </c>
      <c r="N21" s="242">
        <v>0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-3720013.89</v>
      </c>
      <c r="H22" s="244"/>
      <c r="I22" s="244"/>
      <c r="J22" s="208">
        <v>-182733.11</v>
      </c>
      <c r="K22" s="207">
        <v>0</v>
      </c>
      <c r="L22" s="207">
        <v>-3902747</v>
      </c>
      <c r="M22" s="207">
        <v>697986.11</v>
      </c>
      <c r="N22" s="245">
        <v>515253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-6608400</v>
      </c>
      <c r="H36" s="239"/>
      <c r="I36" s="239"/>
      <c r="J36" s="210">
        <v>0</v>
      </c>
      <c r="K36" s="209">
        <v>0</v>
      </c>
      <c r="L36" s="209">
        <v>-6608400</v>
      </c>
      <c r="M36" s="209">
        <v>0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-7138338</v>
      </c>
      <c r="H37" s="239"/>
      <c r="I37" s="239"/>
      <c r="J37" s="210">
        <v>0</v>
      </c>
      <c r="K37" s="209">
        <v>0</v>
      </c>
      <c r="L37" s="209">
        <v>-7138338</v>
      </c>
      <c r="M37" s="209">
        <v>0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-1728820</v>
      </c>
      <c r="H38" s="239"/>
      <c r="I38" s="239"/>
      <c r="J38" s="210">
        <v>0</v>
      </c>
      <c r="K38" s="209">
        <v>0</v>
      </c>
      <c r="L38" s="209">
        <v>-1728820</v>
      </c>
      <c r="M38" s="209">
        <v>0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-1728820</v>
      </c>
      <c r="H39" s="239"/>
      <c r="I39" s="239"/>
      <c r="J39" s="210">
        <v>0</v>
      </c>
      <c r="K39" s="209">
        <v>0</v>
      </c>
      <c r="L39" s="209">
        <v>-1728820</v>
      </c>
      <c r="M39" s="209">
        <v>0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-1728820</v>
      </c>
      <c r="H40" s="239"/>
      <c r="I40" s="239"/>
      <c r="J40" s="210">
        <v>0</v>
      </c>
      <c r="K40" s="209">
        <v>0</v>
      </c>
      <c r="L40" s="209">
        <v>-1728820</v>
      </c>
      <c r="M40" s="209">
        <v>0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-689591.85</v>
      </c>
      <c r="H42" s="239"/>
      <c r="I42" s="239"/>
      <c r="J42" s="210">
        <v>-98730</v>
      </c>
      <c r="K42" s="209">
        <v>0</v>
      </c>
      <c r="L42" s="209">
        <v>-788321.85</v>
      </c>
      <c r="M42" s="209">
        <v>296190.46000000002</v>
      </c>
      <c r="N42" s="242">
        <v>197460.46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-1207896.6399999999</v>
      </c>
      <c r="H44" s="239"/>
      <c r="I44" s="239"/>
      <c r="J44" s="210">
        <v>-195875</v>
      </c>
      <c r="K44" s="209">
        <v>0</v>
      </c>
      <c r="L44" s="209">
        <v>-1403771.64</v>
      </c>
      <c r="M44" s="209">
        <v>359103.36</v>
      </c>
      <c r="N44" s="242">
        <v>163228.35999999999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-974156.86</v>
      </c>
      <c r="H45" s="239"/>
      <c r="I45" s="239"/>
      <c r="J45" s="210">
        <v>-158286</v>
      </c>
      <c r="K45" s="209">
        <v>0</v>
      </c>
      <c r="L45" s="209">
        <v>-1132442.8600000001</v>
      </c>
      <c r="M45" s="209">
        <v>290191.08</v>
      </c>
      <c r="N45" s="242">
        <v>131905.07999999999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-1191574.72</v>
      </c>
      <c r="H47" s="239"/>
      <c r="I47" s="239"/>
      <c r="J47" s="210">
        <v>-195874</v>
      </c>
      <c r="K47" s="209">
        <v>0</v>
      </c>
      <c r="L47" s="209">
        <v>-1387448.72</v>
      </c>
      <c r="M47" s="209">
        <v>375425.28000000003</v>
      </c>
      <c r="N47" s="242">
        <v>179551.28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-750224</v>
      </c>
      <c r="H48" s="239"/>
      <c r="I48" s="239"/>
      <c r="J48" s="210">
        <v>0</v>
      </c>
      <c r="K48" s="209">
        <v>0</v>
      </c>
      <c r="L48" s="209">
        <v>-750224</v>
      </c>
      <c r="M48" s="209">
        <v>0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-597269.06000000006</v>
      </c>
      <c r="H49" s="239"/>
      <c r="I49" s="239"/>
      <c r="J49" s="210">
        <v>-57084.94</v>
      </c>
      <c r="K49" s="209">
        <v>0</v>
      </c>
      <c r="L49" s="209">
        <v>-654354</v>
      </c>
      <c r="M49" s="209">
        <v>57084.94</v>
      </c>
      <c r="N49" s="242">
        <v>0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-597269.06000000006</v>
      </c>
      <c r="H51" s="239"/>
      <c r="I51" s="239"/>
      <c r="J51" s="210">
        <v>-57084.94</v>
      </c>
      <c r="K51" s="209">
        <v>0</v>
      </c>
      <c r="L51" s="209">
        <v>-654354</v>
      </c>
      <c r="M51" s="209">
        <v>57084.94</v>
      </c>
      <c r="N51" s="242">
        <v>0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-597269.06000000006</v>
      </c>
      <c r="H52" s="239"/>
      <c r="I52" s="239"/>
      <c r="J52" s="210">
        <v>-57084.94</v>
      </c>
      <c r="K52" s="209">
        <v>0</v>
      </c>
      <c r="L52" s="209">
        <v>-654354</v>
      </c>
      <c r="M52" s="209">
        <v>57084.94</v>
      </c>
      <c r="N52" s="242">
        <v>0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-654354</v>
      </c>
      <c r="H53" s="239"/>
      <c r="I53" s="239"/>
      <c r="J53" s="210">
        <v>0</v>
      </c>
      <c r="K53" s="209">
        <v>0</v>
      </c>
      <c r="L53" s="209">
        <v>-654354</v>
      </c>
      <c r="M53" s="209">
        <v>0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-654354</v>
      </c>
      <c r="H54" s="239"/>
      <c r="I54" s="239"/>
      <c r="J54" s="210">
        <v>0</v>
      </c>
      <c r="K54" s="209">
        <v>0</v>
      </c>
      <c r="L54" s="209">
        <v>-654354</v>
      </c>
      <c r="M54" s="209">
        <v>0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-654354</v>
      </c>
      <c r="H59" s="239"/>
      <c r="I59" s="239"/>
      <c r="J59" s="210">
        <v>0</v>
      </c>
      <c r="K59" s="209">
        <v>0</v>
      </c>
      <c r="L59" s="209">
        <v>-654354</v>
      </c>
      <c r="M59" s="209">
        <v>0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-597269.13</v>
      </c>
      <c r="H62" s="239"/>
      <c r="I62" s="239"/>
      <c r="J62" s="210">
        <v>-57084.87</v>
      </c>
      <c r="K62" s="209">
        <v>0</v>
      </c>
      <c r="L62" s="209">
        <v>-654354</v>
      </c>
      <c r="M62" s="209">
        <v>57084.87</v>
      </c>
      <c r="N62" s="242">
        <v>0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-597269.13</v>
      </c>
      <c r="H63" s="239"/>
      <c r="I63" s="239"/>
      <c r="J63" s="210">
        <v>-57084.87</v>
      </c>
      <c r="K63" s="209">
        <v>0</v>
      </c>
      <c r="L63" s="209">
        <v>-654354</v>
      </c>
      <c r="M63" s="209">
        <v>57084.87</v>
      </c>
      <c r="N63" s="242">
        <v>0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-654354</v>
      </c>
      <c r="H64" s="239"/>
      <c r="I64" s="239"/>
      <c r="J64" s="210">
        <v>0</v>
      </c>
      <c r="K64" s="209">
        <v>0</v>
      </c>
      <c r="L64" s="209">
        <v>-654354</v>
      </c>
      <c r="M64" s="209">
        <v>0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-654354</v>
      </c>
      <c r="H65" s="239"/>
      <c r="I65" s="239"/>
      <c r="J65" s="210">
        <v>0</v>
      </c>
      <c r="K65" s="209">
        <v>0</v>
      </c>
      <c r="L65" s="209">
        <v>-654354</v>
      </c>
      <c r="M65" s="209">
        <v>0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-654354</v>
      </c>
      <c r="H66" s="239"/>
      <c r="I66" s="239"/>
      <c r="J66" s="210">
        <v>0</v>
      </c>
      <c r="K66" s="209">
        <v>0</v>
      </c>
      <c r="L66" s="209">
        <v>-654354</v>
      </c>
      <c r="M66" s="209">
        <v>0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-654353</v>
      </c>
      <c r="H68" s="239"/>
      <c r="I68" s="239"/>
      <c r="J68" s="210">
        <v>0</v>
      </c>
      <c r="K68" s="209">
        <v>0</v>
      </c>
      <c r="L68" s="209">
        <v>-654353</v>
      </c>
      <c r="M68" s="209">
        <v>0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-654353</v>
      </c>
      <c r="H73" s="239"/>
      <c r="I73" s="239"/>
      <c r="J73" s="210">
        <v>0</v>
      </c>
      <c r="K73" s="209">
        <v>0</v>
      </c>
      <c r="L73" s="209">
        <v>-654353</v>
      </c>
      <c r="M73" s="209">
        <v>0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-597268.06000000006</v>
      </c>
      <c r="H75" s="239"/>
      <c r="I75" s="239"/>
      <c r="J75" s="210">
        <v>-57084.94</v>
      </c>
      <c r="K75" s="209">
        <v>0</v>
      </c>
      <c r="L75" s="209">
        <v>-654353</v>
      </c>
      <c r="M75" s="209">
        <v>57084.94</v>
      </c>
      <c r="N75" s="242">
        <v>0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-654353</v>
      </c>
      <c r="H76" s="239"/>
      <c r="I76" s="239"/>
      <c r="J76" s="210">
        <v>0</v>
      </c>
      <c r="K76" s="209">
        <v>0</v>
      </c>
      <c r="L76" s="209">
        <v>-654353</v>
      </c>
      <c r="M76" s="209">
        <v>0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-654353</v>
      </c>
      <c r="H78" s="239"/>
      <c r="I78" s="239"/>
      <c r="J78" s="210">
        <v>0</v>
      </c>
      <c r="K78" s="209">
        <v>0</v>
      </c>
      <c r="L78" s="209">
        <v>-654353</v>
      </c>
      <c r="M78" s="209">
        <v>0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-597268.06000000006</v>
      </c>
      <c r="H79" s="239"/>
      <c r="I79" s="239"/>
      <c r="J79" s="210">
        <v>-57084.94</v>
      </c>
      <c r="K79" s="209">
        <v>0</v>
      </c>
      <c r="L79" s="209">
        <v>-654353</v>
      </c>
      <c r="M79" s="209">
        <v>57084.94</v>
      </c>
      <c r="N79" s="242">
        <v>0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-654353</v>
      </c>
      <c r="H80" s="239"/>
      <c r="I80" s="239"/>
      <c r="J80" s="210">
        <v>0</v>
      </c>
      <c r="K80" s="209">
        <v>0</v>
      </c>
      <c r="L80" s="209">
        <v>-654353</v>
      </c>
      <c r="M80" s="209">
        <v>0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-597268.06000000006</v>
      </c>
      <c r="H82" s="239"/>
      <c r="I82" s="239"/>
      <c r="J82" s="210">
        <v>-57084.94</v>
      </c>
      <c r="K82" s="209">
        <v>0</v>
      </c>
      <c r="L82" s="209">
        <v>-654353</v>
      </c>
      <c r="M82" s="209">
        <v>57084.94</v>
      </c>
      <c r="N82" s="242">
        <v>0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-597268.06000000006</v>
      </c>
      <c r="H83" s="239"/>
      <c r="I83" s="239"/>
      <c r="J83" s="210">
        <v>-57084.94</v>
      </c>
      <c r="K83" s="209">
        <v>0</v>
      </c>
      <c r="L83" s="209">
        <v>-654353</v>
      </c>
      <c r="M83" s="209">
        <v>57084.94</v>
      </c>
      <c r="N83" s="242">
        <v>0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-654353</v>
      </c>
      <c r="H85" s="239"/>
      <c r="I85" s="239"/>
      <c r="J85" s="210">
        <v>0</v>
      </c>
      <c r="K85" s="209">
        <v>0</v>
      </c>
      <c r="L85" s="209">
        <v>-654353</v>
      </c>
      <c r="M85" s="209">
        <v>0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-654353</v>
      </c>
      <c r="H87" s="239"/>
      <c r="I87" s="239"/>
      <c r="J87" s="210">
        <v>0</v>
      </c>
      <c r="K87" s="209">
        <v>0</v>
      </c>
      <c r="L87" s="209">
        <v>-654353</v>
      </c>
      <c r="M87" s="209">
        <v>0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-597268.06000000006</v>
      </c>
      <c r="H91" s="239"/>
      <c r="I91" s="239"/>
      <c r="J91" s="210">
        <v>-57084.94</v>
      </c>
      <c r="K91" s="209">
        <v>0</v>
      </c>
      <c r="L91" s="209">
        <v>-654353</v>
      </c>
      <c r="M91" s="209">
        <v>57084.94</v>
      </c>
      <c r="N91" s="242">
        <v>0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-654353</v>
      </c>
      <c r="H92" s="239"/>
      <c r="I92" s="239"/>
      <c r="J92" s="210">
        <v>0</v>
      </c>
      <c r="K92" s="209">
        <v>0</v>
      </c>
      <c r="L92" s="209">
        <v>-654353</v>
      </c>
      <c r="M92" s="209">
        <v>0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-597268.06000000006</v>
      </c>
      <c r="H96" s="239"/>
      <c r="I96" s="239"/>
      <c r="J96" s="210">
        <v>-57084.94</v>
      </c>
      <c r="K96" s="209">
        <v>0</v>
      </c>
      <c r="L96" s="209">
        <v>-654353</v>
      </c>
      <c r="M96" s="209">
        <v>57084.94</v>
      </c>
      <c r="N96" s="242">
        <v>0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-597268.06000000006</v>
      </c>
      <c r="H97" s="239"/>
      <c r="I97" s="239"/>
      <c r="J97" s="210">
        <v>-57084.94</v>
      </c>
      <c r="K97" s="209">
        <v>0</v>
      </c>
      <c r="L97" s="209">
        <v>-654353</v>
      </c>
      <c r="M97" s="209">
        <v>57084.94</v>
      </c>
      <c r="N97" s="242">
        <v>0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-654353</v>
      </c>
      <c r="H99" s="239"/>
      <c r="I99" s="239"/>
      <c r="J99" s="210">
        <v>0</v>
      </c>
      <c r="K99" s="209">
        <v>0</v>
      </c>
      <c r="L99" s="209">
        <v>-654353</v>
      </c>
      <c r="M99" s="209">
        <v>0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-597268.06000000006</v>
      </c>
      <c r="H102" s="239"/>
      <c r="I102" s="239"/>
      <c r="J102" s="210">
        <v>-57084.94</v>
      </c>
      <c r="K102" s="209">
        <v>0</v>
      </c>
      <c r="L102" s="209">
        <v>-654353</v>
      </c>
      <c r="M102" s="209">
        <v>57084.94</v>
      </c>
      <c r="N102" s="242">
        <v>0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-597268.06000000006</v>
      </c>
      <c r="H103" s="239"/>
      <c r="I103" s="239"/>
      <c r="J103" s="210">
        <v>-57084.94</v>
      </c>
      <c r="K103" s="209">
        <v>0</v>
      </c>
      <c r="L103" s="209">
        <v>-654353</v>
      </c>
      <c r="M103" s="209">
        <v>57084.94</v>
      </c>
      <c r="N103" s="242">
        <v>0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-1100000</v>
      </c>
      <c r="H285" s="239"/>
      <c r="I285" s="239"/>
      <c r="J285" s="210">
        <v>0</v>
      </c>
      <c r="K285" s="209">
        <v>0</v>
      </c>
      <c r="L285" s="209">
        <v>-1100000</v>
      </c>
      <c r="M285" s="209">
        <v>0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-1100000</v>
      </c>
      <c r="H286" s="239"/>
      <c r="I286" s="239"/>
      <c r="J286" s="210">
        <v>0</v>
      </c>
      <c r="K286" s="209">
        <v>0</v>
      </c>
      <c r="L286" s="209">
        <v>-1100000</v>
      </c>
      <c r="M286" s="209">
        <v>0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-106998617.59</v>
      </c>
      <c r="H290" s="244"/>
      <c r="I290" s="244"/>
      <c r="J290" s="208">
        <v>-1447954.02</v>
      </c>
      <c r="K290" s="207">
        <v>0</v>
      </c>
      <c r="L290" s="207">
        <v>-108446571.61</v>
      </c>
      <c r="M290" s="207">
        <v>2120105.16</v>
      </c>
      <c r="N290" s="245">
        <v>672151.14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-191895.72</v>
      </c>
      <c r="H294" s="239"/>
      <c r="I294" s="239"/>
      <c r="J294" s="210">
        <v>-19191</v>
      </c>
      <c r="K294" s="209">
        <v>0</v>
      </c>
      <c r="L294" s="209">
        <v>-211086.72</v>
      </c>
      <c r="M294" s="209">
        <v>191905.28</v>
      </c>
      <c r="N294" s="242">
        <v>172714.28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-3170799.94</v>
      </c>
      <c r="H295" s="239"/>
      <c r="I295" s="239"/>
      <c r="J295" s="210">
        <v>-317163</v>
      </c>
      <c r="K295" s="209">
        <v>0</v>
      </c>
      <c r="L295" s="209">
        <v>-3487962.94</v>
      </c>
      <c r="M295" s="209">
        <v>3171632.06</v>
      </c>
      <c r="N295" s="242">
        <v>2854469.06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-1813981.58</v>
      </c>
      <c r="H296" s="239"/>
      <c r="I296" s="239"/>
      <c r="J296" s="210">
        <v>-181452</v>
      </c>
      <c r="K296" s="209">
        <v>0</v>
      </c>
      <c r="L296" s="209">
        <v>-1995433.58</v>
      </c>
      <c r="M296" s="209">
        <v>907261.42</v>
      </c>
      <c r="N296" s="242">
        <v>725809.42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-2878808.55</v>
      </c>
      <c r="H297" s="239"/>
      <c r="I297" s="239"/>
      <c r="J297" s="210">
        <v>-287886</v>
      </c>
      <c r="K297" s="209">
        <v>0</v>
      </c>
      <c r="L297" s="209">
        <v>-3166694.55</v>
      </c>
      <c r="M297" s="209">
        <v>1439430.25</v>
      </c>
      <c r="N297" s="242">
        <v>1151544.25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-2071888.89</v>
      </c>
      <c r="H298" s="239"/>
      <c r="I298" s="239"/>
      <c r="J298" s="210">
        <v>-207201</v>
      </c>
      <c r="K298" s="209">
        <v>0</v>
      </c>
      <c r="L298" s="209">
        <v>-2279089.89</v>
      </c>
      <c r="M298" s="209">
        <v>2072009.71</v>
      </c>
      <c r="N298" s="242">
        <v>1864808.71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-420689.52</v>
      </c>
      <c r="H299" s="239"/>
      <c r="I299" s="239"/>
      <c r="J299" s="210">
        <v>-42282</v>
      </c>
      <c r="K299" s="209">
        <v>0</v>
      </c>
      <c r="L299" s="209">
        <v>-462971.52</v>
      </c>
      <c r="M299" s="209">
        <v>211410.08</v>
      </c>
      <c r="N299" s="242">
        <v>169128.08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-292832.46000000002</v>
      </c>
      <c r="H300" s="239"/>
      <c r="I300" s="239"/>
      <c r="J300" s="210">
        <v>-32538</v>
      </c>
      <c r="K300" s="209">
        <v>0</v>
      </c>
      <c r="L300" s="209">
        <v>-325370.46000000002</v>
      </c>
      <c r="M300" s="209">
        <v>357917.54</v>
      </c>
      <c r="N300" s="242">
        <v>325379.53999999998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-51464.26</v>
      </c>
      <c r="H301" s="239"/>
      <c r="I301" s="239"/>
      <c r="J301" s="210">
        <v>-5981</v>
      </c>
      <c r="K301" s="209">
        <v>0</v>
      </c>
      <c r="L301" s="209">
        <v>-57445.26</v>
      </c>
      <c r="M301" s="209">
        <v>67785.740000000005</v>
      </c>
      <c r="N301" s="242">
        <v>61804.74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-1313394.1399999999</v>
      </c>
      <c r="H302" s="239"/>
      <c r="I302" s="239"/>
      <c r="J302" s="210">
        <v>-164176</v>
      </c>
      <c r="K302" s="209">
        <v>0</v>
      </c>
      <c r="L302" s="209">
        <v>-1477570.14</v>
      </c>
      <c r="M302" s="209">
        <v>1970108.86</v>
      </c>
      <c r="N302" s="242">
        <v>1805932.86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-28922</v>
      </c>
      <c r="H304" s="239"/>
      <c r="I304" s="239"/>
      <c r="J304" s="210">
        <v>-6546</v>
      </c>
      <c r="K304" s="209">
        <v>0</v>
      </c>
      <c r="L304" s="209">
        <v>-35468</v>
      </c>
      <c r="M304" s="209">
        <v>69278</v>
      </c>
      <c r="N304" s="242">
        <v>62732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-811966.93</v>
      </c>
      <c r="H305" s="239"/>
      <c r="I305" s="239"/>
      <c r="J305" s="210">
        <v>-73818</v>
      </c>
      <c r="K305" s="209">
        <v>0</v>
      </c>
      <c r="L305" s="209">
        <v>-885784.93</v>
      </c>
      <c r="M305" s="209">
        <v>295270.07</v>
      </c>
      <c r="N305" s="242">
        <v>221452.07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-13237360.890000001</v>
      </c>
      <c r="H306" s="244"/>
      <c r="I306" s="244"/>
      <c r="J306" s="208">
        <v>-1338234</v>
      </c>
      <c r="K306" s="207">
        <v>0</v>
      </c>
      <c r="L306" s="207">
        <v>-14575594.890000001</v>
      </c>
      <c r="M306" s="207">
        <v>10754009.01</v>
      </c>
      <c r="N306" s="245">
        <v>9415775.0099999998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-196150.3</v>
      </c>
      <c r="H311" s="239"/>
      <c r="I311" s="239"/>
      <c r="J311" s="210">
        <v>-25311</v>
      </c>
      <c r="K311" s="209">
        <v>0</v>
      </c>
      <c r="L311" s="209">
        <v>-221461.3</v>
      </c>
      <c r="M311" s="209">
        <v>56950.7</v>
      </c>
      <c r="N311" s="242">
        <v>31639.7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-125213</v>
      </c>
      <c r="H314" s="239"/>
      <c r="I314" s="239"/>
      <c r="J314" s="210">
        <v>-60102</v>
      </c>
      <c r="K314" s="209">
        <v>0</v>
      </c>
      <c r="L314" s="209">
        <v>-185315</v>
      </c>
      <c r="M314" s="209">
        <v>175297.5</v>
      </c>
      <c r="N314" s="242">
        <v>115195.5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-379640</v>
      </c>
      <c r="H315" s="239"/>
      <c r="I315" s="239"/>
      <c r="J315" s="210">
        <v>-182228</v>
      </c>
      <c r="K315" s="209">
        <v>0</v>
      </c>
      <c r="L315" s="209">
        <v>-561868</v>
      </c>
      <c r="M315" s="209">
        <v>531496.80000000005</v>
      </c>
      <c r="N315" s="242">
        <v>349268.8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-13254813.199999999</v>
      </c>
      <c r="H316" s="244"/>
      <c r="I316" s="244"/>
      <c r="J316" s="208">
        <v>-267641</v>
      </c>
      <c r="K316" s="207">
        <v>0</v>
      </c>
      <c r="L316" s="207">
        <v>-13522454.199999999</v>
      </c>
      <c r="M316" s="207">
        <v>763745.45</v>
      </c>
      <c r="N316" s="245">
        <v>496104.45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-313654</v>
      </c>
      <c r="H334" s="239"/>
      <c r="I334" s="239"/>
      <c r="J334" s="210">
        <v>0</v>
      </c>
      <c r="K334" s="209">
        <v>0</v>
      </c>
      <c r="L334" s="209">
        <v>-313654</v>
      </c>
      <c r="M334" s="209">
        <v>0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-1244336.69</v>
      </c>
      <c r="H335" s="239"/>
      <c r="I335" s="239"/>
      <c r="J335" s="210">
        <v>-0.31</v>
      </c>
      <c r="K335" s="209">
        <v>0</v>
      </c>
      <c r="L335" s="209">
        <v>-1244337</v>
      </c>
      <c r="M335" s="209">
        <v>0.31</v>
      </c>
      <c r="N335" s="242">
        <v>0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-713196.24</v>
      </c>
      <c r="H341" s="239"/>
      <c r="I341" s="239"/>
      <c r="J341" s="210">
        <v>-70424</v>
      </c>
      <c r="K341" s="209">
        <v>0</v>
      </c>
      <c r="L341" s="209">
        <v>-783620.24</v>
      </c>
      <c r="M341" s="209">
        <v>346253.76</v>
      </c>
      <c r="N341" s="242">
        <v>275829.76000000001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-133511.04000000001</v>
      </c>
      <c r="H342" s="239"/>
      <c r="I342" s="239"/>
      <c r="J342" s="210">
        <v>-13246</v>
      </c>
      <c r="K342" s="209">
        <v>0</v>
      </c>
      <c r="L342" s="209">
        <v>-146757.04</v>
      </c>
      <c r="M342" s="209">
        <v>131351.96</v>
      </c>
      <c r="N342" s="242">
        <v>118105.96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-869220.03</v>
      </c>
      <c r="H353" s="239"/>
      <c r="I353" s="239"/>
      <c r="J353" s="210">
        <v>-80381.97</v>
      </c>
      <c r="K353" s="209">
        <v>0</v>
      </c>
      <c r="L353" s="209">
        <v>-949602</v>
      </c>
      <c r="M353" s="209">
        <v>80381.97</v>
      </c>
      <c r="N353" s="242">
        <v>0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-237231.13</v>
      </c>
      <c r="H354" s="239"/>
      <c r="I354" s="239"/>
      <c r="J354" s="210">
        <v>-21045</v>
      </c>
      <c r="K354" s="209">
        <v>0</v>
      </c>
      <c r="L354" s="209">
        <v>-258276.13</v>
      </c>
      <c r="M354" s="209">
        <v>189401.87</v>
      </c>
      <c r="N354" s="242">
        <v>168356.87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-77334.44</v>
      </c>
      <c r="H357" s="239"/>
      <c r="I357" s="239"/>
      <c r="J357" s="210">
        <v>-2665.56</v>
      </c>
      <c r="K357" s="209">
        <v>0</v>
      </c>
      <c r="L357" s="209">
        <v>-80000</v>
      </c>
      <c r="M357" s="209">
        <v>2665.56</v>
      </c>
      <c r="N357" s="242">
        <v>0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-74434.44</v>
      </c>
      <c r="H358" s="239"/>
      <c r="I358" s="239"/>
      <c r="J358" s="210">
        <v>-2565.56</v>
      </c>
      <c r="K358" s="209">
        <v>0</v>
      </c>
      <c r="L358" s="209">
        <v>-77000</v>
      </c>
      <c r="M358" s="209">
        <v>2565.56</v>
      </c>
      <c r="N358" s="242">
        <v>0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-35488.97</v>
      </c>
      <c r="H359" s="239"/>
      <c r="I359" s="239"/>
      <c r="J359" s="210">
        <v>-1223.03</v>
      </c>
      <c r="K359" s="209">
        <v>0</v>
      </c>
      <c r="L359" s="209">
        <v>-36712</v>
      </c>
      <c r="M359" s="209">
        <v>1223.03</v>
      </c>
      <c r="N359" s="242">
        <v>0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-23200</v>
      </c>
      <c r="H362" s="239"/>
      <c r="I362" s="239"/>
      <c r="J362" s="210">
        <v>-800</v>
      </c>
      <c r="K362" s="209">
        <v>0</v>
      </c>
      <c r="L362" s="209">
        <v>-24000</v>
      </c>
      <c r="M362" s="209">
        <v>800</v>
      </c>
      <c r="N362" s="242">
        <v>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-2315992.5</v>
      </c>
      <c r="H365" s="239"/>
      <c r="I365" s="239"/>
      <c r="J365" s="210">
        <v>-248142</v>
      </c>
      <c r="K365" s="209">
        <v>0</v>
      </c>
      <c r="L365" s="209">
        <v>-2564134.5</v>
      </c>
      <c r="M365" s="209">
        <v>1406137.5</v>
      </c>
      <c r="N365" s="242">
        <v>1157995.5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-1215266.81</v>
      </c>
      <c r="H366" s="239"/>
      <c r="I366" s="239"/>
      <c r="J366" s="210">
        <v>-130206</v>
      </c>
      <c r="K366" s="209">
        <v>0</v>
      </c>
      <c r="L366" s="209">
        <v>-1345472.81</v>
      </c>
      <c r="M366" s="209">
        <v>737834.19</v>
      </c>
      <c r="N366" s="242">
        <v>607628.18999999994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-558744.15</v>
      </c>
      <c r="H367" s="239"/>
      <c r="I367" s="239"/>
      <c r="J367" s="210">
        <v>-59864</v>
      </c>
      <c r="K367" s="209">
        <v>0</v>
      </c>
      <c r="L367" s="209">
        <v>-618608.15</v>
      </c>
      <c r="M367" s="209">
        <v>339227.85</v>
      </c>
      <c r="N367" s="242">
        <v>279363.84999999998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-586403.39</v>
      </c>
      <c r="H368" s="239"/>
      <c r="I368" s="239"/>
      <c r="J368" s="210">
        <v>-62827</v>
      </c>
      <c r="K368" s="209">
        <v>0</v>
      </c>
      <c r="L368" s="209">
        <v>-649230.39</v>
      </c>
      <c r="M368" s="209">
        <v>356018.61</v>
      </c>
      <c r="N368" s="242">
        <v>293191.61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-304399.55</v>
      </c>
      <c r="H369" s="239"/>
      <c r="I369" s="239"/>
      <c r="J369" s="210">
        <v>-32613</v>
      </c>
      <c r="K369" s="209">
        <v>0</v>
      </c>
      <c r="L369" s="209">
        <v>-337012.55</v>
      </c>
      <c r="M369" s="209">
        <v>184806.45</v>
      </c>
      <c r="N369" s="242">
        <v>152193.45000000001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-639825.19999999995</v>
      </c>
      <c r="H370" s="239"/>
      <c r="I370" s="239"/>
      <c r="J370" s="210">
        <v>-68551</v>
      </c>
      <c r="K370" s="209">
        <v>0</v>
      </c>
      <c r="L370" s="209">
        <v>-708376.2</v>
      </c>
      <c r="M370" s="209">
        <v>731208.8</v>
      </c>
      <c r="N370" s="242">
        <v>662657.80000000005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-1586925.35</v>
      </c>
      <c r="H371" s="239"/>
      <c r="I371" s="239"/>
      <c r="J371" s="210">
        <v>-170028</v>
      </c>
      <c r="K371" s="209">
        <v>0</v>
      </c>
      <c r="L371" s="209">
        <v>-1756953.35</v>
      </c>
      <c r="M371" s="209">
        <v>963489.65</v>
      </c>
      <c r="N371" s="242">
        <v>793461.65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-414273.65</v>
      </c>
      <c r="H372" s="239"/>
      <c r="I372" s="239"/>
      <c r="J372" s="210">
        <v>-44386</v>
      </c>
      <c r="K372" s="209">
        <v>0</v>
      </c>
      <c r="L372" s="209">
        <v>-458659.65</v>
      </c>
      <c r="M372" s="209">
        <v>917306.35</v>
      </c>
      <c r="N372" s="242">
        <v>872920.35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-504804.65</v>
      </c>
      <c r="H373" s="239"/>
      <c r="I373" s="239"/>
      <c r="J373" s="210">
        <v>-54087</v>
      </c>
      <c r="K373" s="209">
        <v>0</v>
      </c>
      <c r="L373" s="209">
        <v>-558891.65</v>
      </c>
      <c r="M373" s="209">
        <v>306496.34999999998</v>
      </c>
      <c r="N373" s="242">
        <v>252409.35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-73721.11</v>
      </c>
      <c r="H375" s="239"/>
      <c r="I375" s="239"/>
      <c r="J375" s="210">
        <v>-5978.89</v>
      </c>
      <c r="K375" s="209">
        <v>0</v>
      </c>
      <c r="L375" s="209">
        <v>-79700</v>
      </c>
      <c r="M375" s="209">
        <v>5978.89</v>
      </c>
      <c r="N375" s="242">
        <v>0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-83261.7</v>
      </c>
      <c r="H377" s="239"/>
      <c r="I377" s="239"/>
      <c r="J377" s="210">
        <v>-7568.3</v>
      </c>
      <c r="K377" s="209">
        <v>0</v>
      </c>
      <c r="L377" s="209">
        <v>-90830</v>
      </c>
      <c r="M377" s="209">
        <v>7568.3</v>
      </c>
      <c r="N377" s="242">
        <v>0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-82287.22</v>
      </c>
      <c r="H383" s="239"/>
      <c r="I383" s="239"/>
      <c r="J383" s="210">
        <v>-9162.7800000000007</v>
      </c>
      <c r="K383" s="209">
        <v>0</v>
      </c>
      <c r="L383" s="209">
        <v>-91450</v>
      </c>
      <c r="M383" s="209">
        <v>9162.7800000000007</v>
      </c>
      <c r="N383" s="242">
        <v>0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-174855.05</v>
      </c>
      <c r="H384" s="239"/>
      <c r="I384" s="239"/>
      <c r="J384" s="210">
        <v>-19530.5</v>
      </c>
      <c r="K384" s="209">
        <v>0</v>
      </c>
      <c r="L384" s="209">
        <v>-194385.55</v>
      </c>
      <c r="M384" s="209">
        <v>19530.5</v>
      </c>
      <c r="N384" s="242">
        <v>0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-112502.12</v>
      </c>
      <c r="H385" s="239"/>
      <c r="I385" s="239"/>
      <c r="J385" s="210">
        <v>-12497.88</v>
      </c>
      <c r="K385" s="209">
        <v>0</v>
      </c>
      <c r="L385" s="209">
        <v>-125000</v>
      </c>
      <c r="M385" s="209">
        <v>12497.88</v>
      </c>
      <c r="N385" s="242">
        <v>0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-278217.68</v>
      </c>
      <c r="H387" s="239"/>
      <c r="I387" s="239"/>
      <c r="J387" s="210">
        <v>-25461.55</v>
      </c>
      <c r="K387" s="209">
        <v>0</v>
      </c>
      <c r="L387" s="209">
        <v>-303679.23</v>
      </c>
      <c r="M387" s="209">
        <v>25461.55</v>
      </c>
      <c r="N387" s="242">
        <v>0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-904595.63</v>
      </c>
      <c r="H388" s="239"/>
      <c r="I388" s="239"/>
      <c r="J388" s="210">
        <v>-100509</v>
      </c>
      <c r="K388" s="209">
        <v>0</v>
      </c>
      <c r="L388" s="209">
        <v>-1005104.63</v>
      </c>
      <c r="M388" s="209">
        <v>100509.37</v>
      </c>
      <c r="N388" s="242">
        <v>0.37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-45475</v>
      </c>
      <c r="H389" s="239"/>
      <c r="I389" s="239"/>
      <c r="J389" s="210">
        <v>-5100</v>
      </c>
      <c r="K389" s="209">
        <v>0</v>
      </c>
      <c r="L389" s="209">
        <v>-50575</v>
      </c>
      <c r="M389" s="209">
        <v>5525</v>
      </c>
      <c r="N389" s="242">
        <v>425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-55784.45</v>
      </c>
      <c r="H390" s="239"/>
      <c r="I390" s="239"/>
      <c r="J390" s="210">
        <v>-6258</v>
      </c>
      <c r="K390" s="209">
        <v>0</v>
      </c>
      <c r="L390" s="209">
        <v>-62042.45</v>
      </c>
      <c r="M390" s="209">
        <v>6779.55</v>
      </c>
      <c r="N390" s="242">
        <v>521.54999999999995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-231490.72</v>
      </c>
      <c r="H391" s="239"/>
      <c r="I391" s="239"/>
      <c r="J391" s="210">
        <v>-25875</v>
      </c>
      <c r="K391" s="209">
        <v>0</v>
      </c>
      <c r="L391" s="209">
        <v>-257365.72</v>
      </c>
      <c r="M391" s="209">
        <v>155248.28</v>
      </c>
      <c r="N391" s="242">
        <v>129373.28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-163296.56</v>
      </c>
      <c r="H392" s="239"/>
      <c r="I392" s="239"/>
      <c r="J392" s="210">
        <v>-18143</v>
      </c>
      <c r="K392" s="209">
        <v>0</v>
      </c>
      <c r="L392" s="209">
        <v>-181439.56</v>
      </c>
      <c r="M392" s="209">
        <v>381002.3</v>
      </c>
      <c r="N392" s="242">
        <v>362859.3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-411181.89</v>
      </c>
      <c r="H393" s="239"/>
      <c r="I393" s="239"/>
      <c r="J393" s="210">
        <v>-45664</v>
      </c>
      <c r="K393" s="209">
        <v>0</v>
      </c>
      <c r="L393" s="209">
        <v>-456845.89</v>
      </c>
      <c r="M393" s="209">
        <v>273982.45</v>
      </c>
      <c r="N393" s="242">
        <v>228318.45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-613873.89</v>
      </c>
      <c r="H394" s="239"/>
      <c r="I394" s="239"/>
      <c r="J394" s="210">
        <v>-68286</v>
      </c>
      <c r="K394" s="209">
        <v>0</v>
      </c>
      <c r="L394" s="209">
        <v>-682159.89</v>
      </c>
      <c r="M394" s="209">
        <v>409716.41</v>
      </c>
      <c r="N394" s="242">
        <v>341430.41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-1113826.76</v>
      </c>
      <c r="H395" s="239"/>
      <c r="I395" s="239"/>
      <c r="J395" s="210">
        <v>-123869</v>
      </c>
      <c r="K395" s="209">
        <v>0</v>
      </c>
      <c r="L395" s="209">
        <v>-1237695.76</v>
      </c>
      <c r="M395" s="209">
        <v>743215.58</v>
      </c>
      <c r="N395" s="242">
        <v>619346.57999999996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-391966.44</v>
      </c>
      <c r="H396" s="239"/>
      <c r="I396" s="239"/>
      <c r="J396" s="210">
        <v>-43554</v>
      </c>
      <c r="K396" s="209">
        <v>0</v>
      </c>
      <c r="L396" s="209">
        <v>-435520.44</v>
      </c>
      <c r="M396" s="209">
        <v>914632.56</v>
      </c>
      <c r="N396" s="242">
        <v>871078.56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-112088</v>
      </c>
      <c r="H400" s="239"/>
      <c r="I400" s="239"/>
      <c r="J400" s="210">
        <v>-12810</v>
      </c>
      <c r="K400" s="209">
        <v>0</v>
      </c>
      <c r="L400" s="209">
        <v>-124898</v>
      </c>
      <c r="M400" s="209">
        <v>16012</v>
      </c>
      <c r="N400" s="242">
        <v>3202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-52500</v>
      </c>
      <c r="H402" s="239"/>
      <c r="I402" s="239"/>
      <c r="J402" s="210">
        <v>-6000</v>
      </c>
      <c r="K402" s="209">
        <v>0</v>
      </c>
      <c r="L402" s="209">
        <v>-58500</v>
      </c>
      <c r="M402" s="209">
        <v>7500</v>
      </c>
      <c r="N402" s="242">
        <v>1500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-40407.949999999997</v>
      </c>
      <c r="H403" s="239"/>
      <c r="I403" s="239"/>
      <c r="J403" s="210">
        <v>-4662</v>
      </c>
      <c r="K403" s="209">
        <v>0</v>
      </c>
      <c r="L403" s="209">
        <v>-45069.95</v>
      </c>
      <c r="M403" s="209">
        <v>6216.05</v>
      </c>
      <c r="N403" s="242">
        <v>1554.05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-248363.37</v>
      </c>
      <c r="H406" s="239"/>
      <c r="I406" s="239"/>
      <c r="J406" s="210">
        <v>-28938</v>
      </c>
      <c r="K406" s="209">
        <v>0</v>
      </c>
      <c r="L406" s="209">
        <v>-277301.37</v>
      </c>
      <c r="M406" s="209">
        <v>330371.63</v>
      </c>
      <c r="N406" s="242">
        <v>301433.63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-432301.86</v>
      </c>
      <c r="H407" s="239"/>
      <c r="I407" s="239"/>
      <c r="J407" s="210">
        <v>-50861</v>
      </c>
      <c r="K407" s="209">
        <v>0</v>
      </c>
      <c r="L407" s="209">
        <v>-483162.86</v>
      </c>
      <c r="M407" s="209">
        <v>330598.14</v>
      </c>
      <c r="N407" s="242">
        <v>279737.14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-36188.54</v>
      </c>
      <c r="H415" s="239"/>
      <c r="I415" s="239"/>
      <c r="J415" s="210">
        <v>-4302</v>
      </c>
      <c r="K415" s="209">
        <v>0</v>
      </c>
      <c r="L415" s="209">
        <v>-40490.54</v>
      </c>
      <c r="M415" s="209">
        <v>6811.46</v>
      </c>
      <c r="N415" s="242">
        <v>2509.46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-78059.97</v>
      </c>
      <c r="H417" s="239"/>
      <c r="I417" s="239"/>
      <c r="J417" s="210">
        <v>-9366</v>
      </c>
      <c r="K417" s="209">
        <v>0</v>
      </c>
      <c r="L417" s="209">
        <v>-87425.97</v>
      </c>
      <c r="M417" s="209">
        <v>62440.03</v>
      </c>
      <c r="N417" s="242">
        <v>53074.03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-336280.11</v>
      </c>
      <c r="H418" s="239"/>
      <c r="I418" s="239"/>
      <c r="J418" s="210">
        <v>-40352</v>
      </c>
      <c r="K418" s="209">
        <v>0</v>
      </c>
      <c r="L418" s="209">
        <v>-376632.11</v>
      </c>
      <c r="M418" s="209">
        <v>67252.38</v>
      </c>
      <c r="N418" s="242">
        <v>26900.38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-83577.990000000005</v>
      </c>
      <c r="H420" s="239"/>
      <c r="I420" s="239"/>
      <c r="J420" s="210">
        <v>-10031</v>
      </c>
      <c r="K420" s="209">
        <v>0</v>
      </c>
      <c r="L420" s="209">
        <v>-93608.99</v>
      </c>
      <c r="M420" s="209">
        <v>117030.01</v>
      </c>
      <c r="N420" s="242">
        <v>106999.01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-204162.54</v>
      </c>
      <c r="H423" s="239"/>
      <c r="I423" s="239"/>
      <c r="J423" s="210">
        <v>-25002</v>
      </c>
      <c r="K423" s="209">
        <v>0</v>
      </c>
      <c r="L423" s="209">
        <v>-229164.54</v>
      </c>
      <c r="M423" s="209">
        <v>45837.46</v>
      </c>
      <c r="N423" s="242">
        <v>20835.46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-167412.54</v>
      </c>
      <c r="H424" s="239"/>
      <c r="I424" s="239"/>
      <c r="J424" s="210">
        <v>-20502</v>
      </c>
      <c r="K424" s="209">
        <v>0</v>
      </c>
      <c r="L424" s="209">
        <v>-187914.54</v>
      </c>
      <c r="M424" s="209">
        <v>37587.46</v>
      </c>
      <c r="N424" s="242">
        <v>17085.46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-46123.42</v>
      </c>
      <c r="H426" s="239"/>
      <c r="I426" s="239"/>
      <c r="J426" s="210">
        <v>-5646</v>
      </c>
      <c r="K426" s="209">
        <v>0</v>
      </c>
      <c r="L426" s="209">
        <v>-51769.42</v>
      </c>
      <c r="M426" s="209">
        <v>10351.08</v>
      </c>
      <c r="N426" s="242">
        <v>4705.08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-99209.3</v>
      </c>
      <c r="H427" s="239"/>
      <c r="I427" s="239"/>
      <c r="J427" s="210">
        <v>-12272</v>
      </c>
      <c r="K427" s="209">
        <v>0</v>
      </c>
      <c r="L427" s="209">
        <v>-111481.3</v>
      </c>
      <c r="M427" s="209">
        <v>84877.7</v>
      </c>
      <c r="N427" s="242">
        <v>72605.7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-66351.600000000006</v>
      </c>
      <c r="H428" s="239"/>
      <c r="I428" s="239"/>
      <c r="J428" s="210">
        <v>-8209</v>
      </c>
      <c r="K428" s="209">
        <v>0</v>
      </c>
      <c r="L428" s="209">
        <v>-74560.600000000006</v>
      </c>
      <c r="M428" s="209">
        <v>15733.4</v>
      </c>
      <c r="N428" s="242">
        <v>7524.4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-24651.79</v>
      </c>
      <c r="H429" s="239"/>
      <c r="I429" s="239"/>
      <c r="J429" s="210">
        <v>-3051</v>
      </c>
      <c r="K429" s="209">
        <v>0</v>
      </c>
      <c r="L429" s="209">
        <v>-27702.79</v>
      </c>
      <c r="M429" s="209">
        <v>5848.21</v>
      </c>
      <c r="N429" s="242">
        <v>2797.21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-88920.8</v>
      </c>
      <c r="H430" s="239"/>
      <c r="I430" s="239"/>
      <c r="J430" s="210">
        <v>-10998</v>
      </c>
      <c r="K430" s="209">
        <v>0</v>
      </c>
      <c r="L430" s="209">
        <v>-99918.8</v>
      </c>
      <c r="M430" s="209">
        <v>21079.200000000001</v>
      </c>
      <c r="N430" s="242">
        <v>10081.200000000001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-37588</v>
      </c>
      <c r="H431" s="239"/>
      <c r="I431" s="239"/>
      <c r="J431" s="210">
        <v>-4650</v>
      </c>
      <c r="K431" s="209">
        <v>0</v>
      </c>
      <c r="L431" s="209">
        <v>-42238</v>
      </c>
      <c r="M431" s="209">
        <v>8912</v>
      </c>
      <c r="N431" s="242">
        <v>4262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-120389.93</v>
      </c>
      <c r="H432" s="239"/>
      <c r="I432" s="239"/>
      <c r="J432" s="210">
        <v>-15050</v>
      </c>
      <c r="K432" s="209">
        <v>0</v>
      </c>
      <c r="L432" s="209">
        <v>-135439.93</v>
      </c>
      <c r="M432" s="209">
        <v>30099.07</v>
      </c>
      <c r="N432" s="242">
        <v>15049.07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-386406.51</v>
      </c>
      <c r="H433" s="239"/>
      <c r="I433" s="239"/>
      <c r="J433" s="210">
        <v>-48301</v>
      </c>
      <c r="K433" s="209">
        <v>0</v>
      </c>
      <c r="L433" s="209">
        <v>-434707.51</v>
      </c>
      <c r="M433" s="209">
        <v>338109.49</v>
      </c>
      <c r="N433" s="242">
        <v>289808.49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-160043.15</v>
      </c>
      <c r="H435" s="239"/>
      <c r="I435" s="239"/>
      <c r="J435" s="210">
        <v>-20006</v>
      </c>
      <c r="K435" s="209">
        <v>0</v>
      </c>
      <c r="L435" s="209">
        <v>-180049.15</v>
      </c>
      <c r="M435" s="209">
        <v>140044.85</v>
      </c>
      <c r="N435" s="242">
        <v>120038.85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-35462.26</v>
      </c>
      <c r="H436" s="239"/>
      <c r="I436" s="239"/>
      <c r="J436" s="210">
        <v>-4434</v>
      </c>
      <c r="K436" s="209">
        <v>0</v>
      </c>
      <c r="L436" s="209">
        <v>-39896.26</v>
      </c>
      <c r="M436" s="209">
        <v>31037.74</v>
      </c>
      <c r="N436" s="242">
        <v>26603.74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-35462.26</v>
      </c>
      <c r="H437" s="239"/>
      <c r="I437" s="239"/>
      <c r="J437" s="210">
        <v>-4434</v>
      </c>
      <c r="K437" s="209">
        <v>0</v>
      </c>
      <c r="L437" s="209">
        <v>-39896.26</v>
      </c>
      <c r="M437" s="209">
        <v>31037.74</v>
      </c>
      <c r="N437" s="242">
        <v>26603.74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-35462.26</v>
      </c>
      <c r="H438" s="239"/>
      <c r="I438" s="239"/>
      <c r="J438" s="210">
        <v>-4434</v>
      </c>
      <c r="K438" s="209">
        <v>0</v>
      </c>
      <c r="L438" s="209">
        <v>-39896.26</v>
      </c>
      <c r="M438" s="209">
        <v>31037.74</v>
      </c>
      <c r="N438" s="242">
        <v>26603.74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-35462.26</v>
      </c>
      <c r="H439" s="239"/>
      <c r="I439" s="239"/>
      <c r="J439" s="210">
        <v>-4434</v>
      </c>
      <c r="K439" s="209">
        <v>0</v>
      </c>
      <c r="L439" s="209">
        <v>-39896.26</v>
      </c>
      <c r="M439" s="209">
        <v>31037.74</v>
      </c>
      <c r="N439" s="242">
        <v>26603.74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-35462.26</v>
      </c>
      <c r="H440" s="239"/>
      <c r="I440" s="239"/>
      <c r="J440" s="210">
        <v>-4434</v>
      </c>
      <c r="K440" s="209">
        <v>0</v>
      </c>
      <c r="L440" s="209">
        <v>-39896.26</v>
      </c>
      <c r="M440" s="209">
        <v>31037.74</v>
      </c>
      <c r="N440" s="242">
        <v>26603.74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-35462.26</v>
      </c>
      <c r="H441" s="239"/>
      <c r="I441" s="239"/>
      <c r="J441" s="210">
        <v>-4434</v>
      </c>
      <c r="K441" s="209">
        <v>0</v>
      </c>
      <c r="L441" s="209">
        <v>-39896.26</v>
      </c>
      <c r="M441" s="209">
        <v>31037.74</v>
      </c>
      <c r="N441" s="242">
        <v>26603.74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-35462.26</v>
      </c>
      <c r="H442" s="239"/>
      <c r="I442" s="239"/>
      <c r="J442" s="210">
        <v>-4434</v>
      </c>
      <c r="K442" s="209">
        <v>0</v>
      </c>
      <c r="L442" s="209">
        <v>-39896.26</v>
      </c>
      <c r="M442" s="209">
        <v>31037.74</v>
      </c>
      <c r="N442" s="242">
        <v>26603.74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-35462.26</v>
      </c>
      <c r="H443" s="239"/>
      <c r="I443" s="239"/>
      <c r="J443" s="210">
        <v>-4434</v>
      </c>
      <c r="K443" s="209">
        <v>0</v>
      </c>
      <c r="L443" s="209">
        <v>-39896.26</v>
      </c>
      <c r="M443" s="209">
        <v>31037.74</v>
      </c>
      <c r="N443" s="242">
        <v>26603.74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-168132.55</v>
      </c>
      <c r="H444" s="239"/>
      <c r="I444" s="239"/>
      <c r="J444" s="210">
        <v>-21018</v>
      </c>
      <c r="K444" s="209">
        <v>0</v>
      </c>
      <c r="L444" s="209">
        <v>-189150.55</v>
      </c>
      <c r="M444" s="209">
        <v>252216.45</v>
      </c>
      <c r="N444" s="242">
        <v>231198.45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-54404.13</v>
      </c>
      <c r="H447" s="239"/>
      <c r="I447" s="239"/>
      <c r="J447" s="210">
        <v>-6798</v>
      </c>
      <c r="K447" s="209">
        <v>0</v>
      </c>
      <c r="L447" s="209">
        <v>-61202.13</v>
      </c>
      <c r="M447" s="209">
        <v>13595.87</v>
      </c>
      <c r="N447" s="242">
        <v>6797.87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-138618.46</v>
      </c>
      <c r="H450" s="239"/>
      <c r="I450" s="239"/>
      <c r="J450" s="210">
        <v>-17511</v>
      </c>
      <c r="K450" s="209">
        <v>0</v>
      </c>
      <c r="L450" s="209">
        <v>-156129.46</v>
      </c>
      <c r="M450" s="209">
        <v>36481.54</v>
      </c>
      <c r="N450" s="242">
        <v>18970.54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-54630.6</v>
      </c>
      <c r="H465" s="239"/>
      <c r="I465" s="239"/>
      <c r="J465" s="210">
        <v>-7534</v>
      </c>
      <c r="K465" s="209">
        <v>0</v>
      </c>
      <c r="L465" s="209">
        <v>-62164.6</v>
      </c>
      <c r="M465" s="209">
        <v>20719.400000000001</v>
      </c>
      <c r="N465" s="242">
        <v>13185.4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-54630.6</v>
      </c>
      <c r="H466" s="239"/>
      <c r="I466" s="239"/>
      <c r="J466" s="210">
        <v>-7534</v>
      </c>
      <c r="K466" s="209">
        <v>0</v>
      </c>
      <c r="L466" s="209">
        <v>-62164.6</v>
      </c>
      <c r="M466" s="209">
        <v>20719.400000000001</v>
      </c>
      <c r="N466" s="242">
        <v>13185.4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-54630.6</v>
      </c>
      <c r="H467" s="239"/>
      <c r="I467" s="239"/>
      <c r="J467" s="210">
        <v>-7534</v>
      </c>
      <c r="K467" s="209">
        <v>0</v>
      </c>
      <c r="L467" s="209">
        <v>-62164.6</v>
      </c>
      <c r="M467" s="209">
        <v>20719.400000000001</v>
      </c>
      <c r="N467" s="242">
        <v>13185.4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-54630.6</v>
      </c>
      <c r="H468" s="239"/>
      <c r="I468" s="239"/>
      <c r="J468" s="210">
        <v>-7534</v>
      </c>
      <c r="K468" s="209">
        <v>0</v>
      </c>
      <c r="L468" s="209">
        <v>-62164.6</v>
      </c>
      <c r="M468" s="209">
        <v>20719.400000000001</v>
      </c>
      <c r="N468" s="242">
        <v>13185.4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-55378.75</v>
      </c>
      <c r="H469" s="239"/>
      <c r="I469" s="239"/>
      <c r="J469" s="210">
        <v>-7638</v>
      </c>
      <c r="K469" s="209">
        <v>0</v>
      </c>
      <c r="L469" s="209">
        <v>-63016.75</v>
      </c>
      <c r="M469" s="209">
        <v>21004.25</v>
      </c>
      <c r="N469" s="242">
        <v>13366.25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-55378.75</v>
      </c>
      <c r="H470" s="239"/>
      <c r="I470" s="239"/>
      <c r="J470" s="210">
        <v>-7638</v>
      </c>
      <c r="K470" s="209">
        <v>0</v>
      </c>
      <c r="L470" s="209">
        <v>-63016.75</v>
      </c>
      <c r="M470" s="209">
        <v>21004.25</v>
      </c>
      <c r="N470" s="242">
        <v>13366.25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-55378.75</v>
      </c>
      <c r="H471" s="239"/>
      <c r="I471" s="239"/>
      <c r="J471" s="210">
        <v>-7638</v>
      </c>
      <c r="K471" s="209">
        <v>0</v>
      </c>
      <c r="L471" s="209">
        <v>-63016.75</v>
      </c>
      <c r="M471" s="209">
        <v>21004.25</v>
      </c>
      <c r="N471" s="242">
        <v>13366.25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-24295.75</v>
      </c>
      <c r="H473" s="239"/>
      <c r="I473" s="239"/>
      <c r="J473" s="210">
        <v>-3354</v>
      </c>
      <c r="K473" s="209">
        <v>0</v>
      </c>
      <c r="L473" s="209">
        <v>-27649.75</v>
      </c>
      <c r="M473" s="209">
        <v>9223.25</v>
      </c>
      <c r="N473" s="242">
        <v>5869.25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-95691.29</v>
      </c>
      <c r="H483" s="239"/>
      <c r="I483" s="239"/>
      <c r="J483" s="210">
        <v>-13672</v>
      </c>
      <c r="K483" s="209">
        <v>0</v>
      </c>
      <c r="L483" s="209">
        <v>-109363.29</v>
      </c>
      <c r="M483" s="209">
        <v>109376.71</v>
      </c>
      <c r="N483" s="242">
        <v>95704.71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-36977.29</v>
      </c>
      <c r="H484" s="239"/>
      <c r="I484" s="239"/>
      <c r="J484" s="210">
        <v>-5285</v>
      </c>
      <c r="K484" s="209">
        <v>0</v>
      </c>
      <c r="L484" s="209">
        <v>-42262.29</v>
      </c>
      <c r="M484" s="209">
        <v>15854.71</v>
      </c>
      <c r="N484" s="242">
        <v>10569.71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-29200.09</v>
      </c>
      <c r="H485" s="239"/>
      <c r="I485" s="239"/>
      <c r="J485" s="210">
        <v>-4170</v>
      </c>
      <c r="K485" s="209">
        <v>0</v>
      </c>
      <c r="L485" s="209">
        <v>-33370.089999999997</v>
      </c>
      <c r="M485" s="209">
        <v>33359.910000000003</v>
      </c>
      <c r="N485" s="242">
        <v>29189.91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-29200.09</v>
      </c>
      <c r="H486" s="239"/>
      <c r="I486" s="239"/>
      <c r="J486" s="210">
        <v>-4170</v>
      </c>
      <c r="K486" s="209">
        <v>0</v>
      </c>
      <c r="L486" s="209">
        <v>-33370.089999999997</v>
      </c>
      <c r="M486" s="209">
        <v>33359.910000000003</v>
      </c>
      <c r="N486" s="242">
        <v>29189.91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-29200.09</v>
      </c>
      <c r="H487" s="239"/>
      <c r="I487" s="239"/>
      <c r="J487" s="210">
        <v>-4170</v>
      </c>
      <c r="K487" s="209">
        <v>0</v>
      </c>
      <c r="L487" s="209">
        <v>-33370.089999999997</v>
      </c>
      <c r="M487" s="209">
        <v>33359.910000000003</v>
      </c>
      <c r="N487" s="242">
        <v>29189.91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-29200.09</v>
      </c>
      <c r="H488" s="239"/>
      <c r="I488" s="239"/>
      <c r="J488" s="210">
        <v>-4170</v>
      </c>
      <c r="K488" s="209">
        <v>0</v>
      </c>
      <c r="L488" s="209">
        <v>-33370.089999999997</v>
      </c>
      <c r="M488" s="209">
        <v>33359.910000000003</v>
      </c>
      <c r="N488" s="242">
        <v>29189.91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-29200.09</v>
      </c>
      <c r="H489" s="239"/>
      <c r="I489" s="239"/>
      <c r="J489" s="210">
        <v>-4170</v>
      </c>
      <c r="K489" s="209">
        <v>0</v>
      </c>
      <c r="L489" s="209">
        <v>-33370.089999999997</v>
      </c>
      <c r="M489" s="209">
        <v>33359.910000000003</v>
      </c>
      <c r="N489" s="242">
        <v>29189.91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-29200.09</v>
      </c>
      <c r="H490" s="239"/>
      <c r="I490" s="239"/>
      <c r="J490" s="210">
        <v>-4170</v>
      </c>
      <c r="K490" s="209">
        <v>0</v>
      </c>
      <c r="L490" s="209">
        <v>-33370.089999999997</v>
      </c>
      <c r="M490" s="209">
        <v>33359.910000000003</v>
      </c>
      <c r="N490" s="242">
        <v>29189.91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-29200.09</v>
      </c>
      <c r="H491" s="239"/>
      <c r="I491" s="239"/>
      <c r="J491" s="210">
        <v>-4170</v>
      </c>
      <c r="K491" s="209">
        <v>0</v>
      </c>
      <c r="L491" s="209">
        <v>-33370.089999999997</v>
      </c>
      <c r="M491" s="209">
        <v>33359.910000000003</v>
      </c>
      <c r="N491" s="242">
        <v>29189.91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-29200.09</v>
      </c>
      <c r="H492" s="239"/>
      <c r="I492" s="239"/>
      <c r="J492" s="210">
        <v>-4170</v>
      </c>
      <c r="K492" s="209">
        <v>0</v>
      </c>
      <c r="L492" s="209">
        <v>-33370.089999999997</v>
      </c>
      <c r="M492" s="209">
        <v>33359.910000000003</v>
      </c>
      <c r="N492" s="242">
        <v>29189.91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-29200.09</v>
      </c>
      <c r="H493" s="239"/>
      <c r="I493" s="239"/>
      <c r="J493" s="210">
        <v>-4170</v>
      </c>
      <c r="K493" s="209">
        <v>0</v>
      </c>
      <c r="L493" s="209">
        <v>-33370.089999999997</v>
      </c>
      <c r="M493" s="209">
        <v>33359.910000000003</v>
      </c>
      <c r="N493" s="242">
        <v>29189.91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-29200.09</v>
      </c>
      <c r="H494" s="239"/>
      <c r="I494" s="239"/>
      <c r="J494" s="210">
        <v>-4170</v>
      </c>
      <c r="K494" s="209">
        <v>0</v>
      </c>
      <c r="L494" s="209">
        <v>-33370.089999999997</v>
      </c>
      <c r="M494" s="209">
        <v>33359.910000000003</v>
      </c>
      <c r="N494" s="242">
        <v>29189.91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-29200.09</v>
      </c>
      <c r="H495" s="239"/>
      <c r="I495" s="239"/>
      <c r="J495" s="210">
        <v>-4170</v>
      </c>
      <c r="K495" s="209">
        <v>0</v>
      </c>
      <c r="L495" s="209">
        <v>-33370.089999999997</v>
      </c>
      <c r="M495" s="209">
        <v>33359.910000000003</v>
      </c>
      <c r="N495" s="242">
        <v>29189.91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-29200.09</v>
      </c>
      <c r="H496" s="239"/>
      <c r="I496" s="239"/>
      <c r="J496" s="210">
        <v>-4170</v>
      </c>
      <c r="K496" s="209">
        <v>0</v>
      </c>
      <c r="L496" s="209">
        <v>-33370.089999999997</v>
      </c>
      <c r="M496" s="209">
        <v>33359.910000000003</v>
      </c>
      <c r="N496" s="242">
        <v>29189.91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-29200.09</v>
      </c>
      <c r="H497" s="239"/>
      <c r="I497" s="239"/>
      <c r="J497" s="210">
        <v>-4170</v>
      </c>
      <c r="K497" s="209">
        <v>0</v>
      </c>
      <c r="L497" s="209">
        <v>-33370.089999999997</v>
      </c>
      <c r="M497" s="209">
        <v>33359.910000000003</v>
      </c>
      <c r="N497" s="242">
        <v>29189.91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-29200.09</v>
      </c>
      <c r="H498" s="239"/>
      <c r="I498" s="239"/>
      <c r="J498" s="210">
        <v>-4170</v>
      </c>
      <c r="K498" s="209">
        <v>0</v>
      </c>
      <c r="L498" s="209">
        <v>-33370.089999999997</v>
      </c>
      <c r="M498" s="209">
        <v>33359.910000000003</v>
      </c>
      <c r="N498" s="242">
        <v>29189.91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-117200</v>
      </c>
      <c r="H500" s="239"/>
      <c r="I500" s="239"/>
      <c r="J500" s="210">
        <v>-17580</v>
      </c>
      <c r="K500" s="209">
        <v>0</v>
      </c>
      <c r="L500" s="209">
        <v>-134780</v>
      </c>
      <c r="M500" s="209">
        <v>58600</v>
      </c>
      <c r="N500" s="242">
        <v>41020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-257168.96</v>
      </c>
      <c r="H502" s="239"/>
      <c r="I502" s="239"/>
      <c r="J502" s="210">
        <v>-39090</v>
      </c>
      <c r="K502" s="209">
        <v>0</v>
      </c>
      <c r="L502" s="209">
        <v>-296258.96000000002</v>
      </c>
      <c r="M502" s="209">
        <v>329007.84999999998</v>
      </c>
      <c r="N502" s="242">
        <v>289917.84999999998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-169119.45</v>
      </c>
      <c r="H503" s="239"/>
      <c r="I503" s="239"/>
      <c r="J503" s="210">
        <v>-18120</v>
      </c>
      <c r="K503" s="209">
        <v>0</v>
      </c>
      <c r="L503" s="209">
        <v>-187239.45</v>
      </c>
      <c r="M503" s="209">
        <v>102678.77</v>
      </c>
      <c r="N503" s="242">
        <v>84558.77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-55672.800000000003</v>
      </c>
      <c r="H504" s="239"/>
      <c r="I504" s="239"/>
      <c r="J504" s="210">
        <v>-8677</v>
      </c>
      <c r="K504" s="209">
        <v>0</v>
      </c>
      <c r="L504" s="209">
        <v>-64349.8</v>
      </c>
      <c r="M504" s="209">
        <v>31092.05</v>
      </c>
      <c r="N504" s="242">
        <v>22415.05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-633326.28</v>
      </c>
      <c r="H505" s="239"/>
      <c r="I505" s="239"/>
      <c r="J505" s="210">
        <v>-100002</v>
      </c>
      <c r="K505" s="209">
        <v>0</v>
      </c>
      <c r="L505" s="209">
        <v>-733328.28</v>
      </c>
      <c r="M505" s="209">
        <v>366673.72</v>
      </c>
      <c r="N505" s="242">
        <v>266671.71999999997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-164310.43</v>
      </c>
      <c r="H507" s="239"/>
      <c r="I507" s="239"/>
      <c r="J507" s="210">
        <v>-25943</v>
      </c>
      <c r="K507" s="209">
        <v>0</v>
      </c>
      <c r="L507" s="209">
        <v>-190253.43</v>
      </c>
      <c r="M507" s="209">
        <v>95125.57</v>
      </c>
      <c r="N507" s="242">
        <v>69182.570000000007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-144811.54999999999</v>
      </c>
      <c r="H509" s="239"/>
      <c r="I509" s="239"/>
      <c r="J509" s="210">
        <v>-22866</v>
      </c>
      <c r="K509" s="209">
        <v>0</v>
      </c>
      <c r="L509" s="209">
        <v>-167677.54999999999</v>
      </c>
      <c r="M509" s="209">
        <v>83842.45</v>
      </c>
      <c r="N509" s="242">
        <v>60976.45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-164673.72</v>
      </c>
      <c r="H510" s="239"/>
      <c r="I510" s="239"/>
      <c r="J510" s="210">
        <v>-25998</v>
      </c>
      <c r="K510" s="209">
        <v>0</v>
      </c>
      <c r="L510" s="209">
        <v>-190671.72</v>
      </c>
      <c r="M510" s="209">
        <v>95326.28</v>
      </c>
      <c r="N510" s="242">
        <v>69328.28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-87736.86</v>
      </c>
      <c r="H513" s="239"/>
      <c r="I513" s="239"/>
      <c r="J513" s="210">
        <v>-14226</v>
      </c>
      <c r="K513" s="209">
        <v>0</v>
      </c>
      <c r="L513" s="209">
        <v>-101962.86</v>
      </c>
      <c r="M513" s="209">
        <v>54532.79</v>
      </c>
      <c r="N513" s="242">
        <v>40306.79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-14057.39</v>
      </c>
      <c r="H514" s="239"/>
      <c r="I514" s="239"/>
      <c r="J514" s="210">
        <v>-2286</v>
      </c>
      <c r="K514" s="209">
        <v>0</v>
      </c>
      <c r="L514" s="209">
        <v>-16343.39</v>
      </c>
      <c r="M514" s="209">
        <v>8763.36</v>
      </c>
      <c r="N514" s="242">
        <v>6477.36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-17264.38</v>
      </c>
      <c r="H515" s="239"/>
      <c r="I515" s="239"/>
      <c r="J515" s="210">
        <v>-2809</v>
      </c>
      <c r="K515" s="209">
        <v>0</v>
      </c>
      <c r="L515" s="209">
        <v>-20073.38</v>
      </c>
      <c r="M515" s="209">
        <v>10766.28</v>
      </c>
      <c r="N515" s="242">
        <v>7957.28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-28099.65</v>
      </c>
      <c r="H516" s="239"/>
      <c r="I516" s="239"/>
      <c r="J516" s="210">
        <v>-4576</v>
      </c>
      <c r="K516" s="209">
        <v>0</v>
      </c>
      <c r="L516" s="209">
        <v>-32675.65</v>
      </c>
      <c r="M516" s="209">
        <v>17541.71</v>
      </c>
      <c r="N516" s="242">
        <v>12965.71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-27333.48</v>
      </c>
      <c r="H517" s="239"/>
      <c r="I517" s="239"/>
      <c r="J517" s="210">
        <v>-4434</v>
      </c>
      <c r="K517" s="209">
        <v>0</v>
      </c>
      <c r="L517" s="209">
        <v>-31767.48</v>
      </c>
      <c r="M517" s="209">
        <v>39166.519999999997</v>
      </c>
      <c r="N517" s="242">
        <v>34732.519999999997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-27333.48</v>
      </c>
      <c r="H518" s="239"/>
      <c r="I518" s="239"/>
      <c r="J518" s="210">
        <v>-4434</v>
      </c>
      <c r="K518" s="209">
        <v>0</v>
      </c>
      <c r="L518" s="209">
        <v>-31767.48</v>
      </c>
      <c r="M518" s="209">
        <v>39166.519999999997</v>
      </c>
      <c r="N518" s="242">
        <v>34732.519999999997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-27333.48</v>
      </c>
      <c r="H519" s="239"/>
      <c r="I519" s="239"/>
      <c r="J519" s="210">
        <v>-4434</v>
      </c>
      <c r="K519" s="209">
        <v>0</v>
      </c>
      <c r="L519" s="209">
        <v>-31767.48</v>
      </c>
      <c r="M519" s="209">
        <v>39166.519999999997</v>
      </c>
      <c r="N519" s="242">
        <v>34732.519999999997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-27333.48</v>
      </c>
      <c r="H520" s="239"/>
      <c r="I520" s="239"/>
      <c r="J520" s="210">
        <v>-4434</v>
      </c>
      <c r="K520" s="209">
        <v>0</v>
      </c>
      <c r="L520" s="209">
        <v>-31767.48</v>
      </c>
      <c r="M520" s="209">
        <v>39166.519999999997</v>
      </c>
      <c r="N520" s="242">
        <v>34732.519999999997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-27333.48</v>
      </c>
      <c r="H521" s="239"/>
      <c r="I521" s="239"/>
      <c r="J521" s="210">
        <v>-4434</v>
      </c>
      <c r="K521" s="209">
        <v>0</v>
      </c>
      <c r="L521" s="209">
        <v>-31767.48</v>
      </c>
      <c r="M521" s="209">
        <v>39166.519999999997</v>
      </c>
      <c r="N521" s="242">
        <v>34732.519999999997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-130742.39</v>
      </c>
      <c r="H522" s="239"/>
      <c r="I522" s="239"/>
      <c r="J522" s="210">
        <v>-21200</v>
      </c>
      <c r="K522" s="209">
        <v>0</v>
      </c>
      <c r="L522" s="209">
        <v>-151942.39000000001</v>
      </c>
      <c r="M522" s="209">
        <v>293257.61</v>
      </c>
      <c r="N522" s="242">
        <v>272057.61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-27786.959999999999</v>
      </c>
      <c r="H523" s="239"/>
      <c r="I523" s="239"/>
      <c r="J523" s="210">
        <v>-4566</v>
      </c>
      <c r="K523" s="209">
        <v>0</v>
      </c>
      <c r="L523" s="209">
        <v>-32352.959999999999</v>
      </c>
      <c r="M523" s="209">
        <v>40713.040000000001</v>
      </c>
      <c r="N523" s="242">
        <v>36147.040000000001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-27786.959999999999</v>
      </c>
      <c r="H524" s="239"/>
      <c r="I524" s="239"/>
      <c r="J524" s="210">
        <v>-4566</v>
      </c>
      <c r="K524" s="209">
        <v>0</v>
      </c>
      <c r="L524" s="209">
        <v>-32352.959999999999</v>
      </c>
      <c r="M524" s="209">
        <v>40713.040000000001</v>
      </c>
      <c r="N524" s="242">
        <v>36147.040000000001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-27786.959999999999</v>
      </c>
      <c r="H525" s="239"/>
      <c r="I525" s="239"/>
      <c r="J525" s="210">
        <v>-4566</v>
      </c>
      <c r="K525" s="209">
        <v>0</v>
      </c>
      <c r="L525" s="209">
        <v>-32352.959999999999</v>
      </c>
      <c r="M525" s="209">
        <v>40713.040000000001</v>
      </c>
      <c r="N525" s="242">
        <v>36147.040000000001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-27786.959999999999</v>
      </c>
      <c r="H526" s="239"/>
      <c r="I526" s="239"/>
      <c r="J526" s="210">
        <v>-4566</v>
      </c>
      <c r="K526" s="209">
        <v>0</v>
      </c>
      <c r="L526" s="209">
        <v>-32352.959999999999</v>
      </c>
      <c r="M526" s="209">
        <v>40713.040000000001</v>
      </c>
      <c r="N526" s="242">
        <v>36147.040000000001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-27786.959999999999</v>
      </c>
      <c r="H527" s="239"/>
      <c r="I527" s="239"/>
      <c r="J527" s="210">
        <v>-4566</v>
      </c>
      <c r="K527" s="209">
        <v>0</v>
      </c>
      <c r="L527" s="209">
        <v>-32352.959999999999</v>
      </c>
      <c r="M527" s="209">
        <v>40713.040000000001</v>
      </c>
      <c r="N527" s="242">
        <v>36147.040000000001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-27786.959999999999</v>
      </c>
      <c r="H528" s="239"/>
      <c r="I528" s="239"/>
      <c r="J528" s="210">
        <v>-4566</v>
      </c>
      <c r="K528" s="209">
        <v>0</v>
      </c>
      <c r="L528" s="209">
        <v>-32352.959999999999</v>
      </c>
      <c r="M528" s="209">
        <v>40713.040000000001</v>
      </c>
      <c r="N528" s="242">
        <v>36147.040000000001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-27786.959999999999</v>
      </c>
      <c r="H529" s="239"/>
      <c r="I529" s="239"/>
      <c r="J529" s="210">
        <v>-4566</v>
      </c>
      <c r="K529" s="209">
        <v>0</v>
      </c>
      <c r="L529" s="209">
        <v>-32352.959999999999</v>
      </c>
      <c r="M529" s="209">
        <v>40713.040000000001</v>
      </c>
      <c r="N529" s="242">
        <v>36147.040000000001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-27786.959999999999</v>
      </c>
      <c r="H530" s="239"/>
      <c r="I530" s="239"/>
      <c r="J530" s="210">
        <v>-4566</v>
      </c>
      <c r="K530" s="209">
        <v>0</v>
      </c>
      <c r="L530" s="209">
        <v>-32352.959999999999</v>
      </c>
      <c r="M530" s="209">
        <v>40713.040000000001</v>
      </c>
      <c r="N530" s="242">
        <v>36147.040000000001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-27786.959999999999</v>
      </c>
      <c r="H531" s="239"/>
      <c r="I531" s="239"/>
      <c r="J531" s="210">
        <v>-4566</v>
      </c>
      <c r="K531" s="209">
        <v>0</v>
      </c>
      <c r="L531" s="209">
        <v>-32352.959999999999</v>
      </c>
      <c r="M531" s="209">
        <v>40713.040000000001</v>
      </c>
      <c r="N531" s="242">
        <v>36147.040000000001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-27786.959999999999</v>
      </c>
      <c r="H532" s="239"/>
      <c r="I532" s="239"/>
      <c r="J532" s="210">
        <v>-4566</v>
      </c>
      <c r="K532" s="209">
        <v>0</v>
      </c>
      <c r="L532" s="209">
        <v>-32352.959999999999</v>
      </c>
      <c r="M532" s="209">
        <v>40713.040000000001</v>
      </c>
      <c r="N532" s="242">
        <v>36147.040000000001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-33200</v>
      </c>
      <c r="H534" s="239"/>
      <c r="I534" s="239"/>
      <c r="J534" s="210">
        <v>0</v>
      </c>
      <c r="K534" s="209">
        <v>0</v>
      </c>
      <c r="L534" s="209">
        <v>-33200</v>
      </c>
      <c r="M534" s="209">
        <v>0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-236075</v>
      </c>
      <c r="H535" s="239"/>
      <c r="I535" s="239"/>
      <c r="J535" s="210">
        <v>-39900</v>
      </c>
      <c r="K535" s="209">
        <v>0</v>
      </c>
      <c r="L535" s="209">
        <v>-275975</v>
      </c>
      <c r="M535" s="209">
        <v>162925</v>
      </c>
      <c r="N535" s="242">
        <v>123025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-25275</v>
      </c>
      <c r="H536" s="239"/>
      <c r="I536" s="239"/>
      <c r="J536" s="210">
        <v>0</v>
      </c>
      <c r="K536" s="209">
        <v>0</v>
      </c>
      <c r="L536" s="209">
        <v>-25275</v>
      </c>
      <c r="M536" s="209">
        <v>0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-78161</v>
      </c>
      <c r="H537" s="239"/>
      <c r="I537" s="239"/>
      <c r="J537" s="210">
        <v>0</v>
      </c>
      <c r="K537" s="209">
        <v>0</v>
      </c>
      <c r="L537" s="209">
        <v>-78161</v>
      </c>
      <c r="M537" s="209">
        <v>0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-78500</v>
      </c>
      <c r="H538" s="239"/>
      <c r="I538" s="239"/>
      <c r="J538" s="210">
        <v>0</v>
      </c>
      <c r="K538" s="209">
        <v>0</v>
      </c>
      <c r="L538" s="209">
        <v>-78500</v>
      </c>
      <c r="M538" s="209">
        <v>0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-87982.99</v>
      </c>
      <c r="H539" s="239"/>
      <c r="I539" s="239"/>
      <c r="J539" s="210">
        <v>-15998</v>
      </c>
      <c r="K539" s="209">
        <v>0</v>
      </c>
      <c r="L539" s="209">
        <v>-103980.99</v>
      </c>
      <c r="M539" s="209">
        <v>71990.210000000006</v>
      </c>
      <c r="N539" s="242">
        <v>55992.21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-25021.53</v>
      </c>
      <c r="H540" s="239"/>
      <c r="I540" s="239"/>
      <c r="J540" s="210">
        <v>-4551</v>
      </c>
      <c r="K540" s="209">
        <v>0</v>
      </c>
      <c r="L540" s="209">
        <v>-29572.53</v>
      </c>
      <c r="M540" s="209">
        <v>20478.47</v>
      </c>
      <c r="N540" s="242">
        <v>15927.47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-41367.03</v>
      </c>
      <c r="H541" s="239"/>
      <c r="I541" s="239"/>
      <c r="J541" s="210">
        <v>-7519</v>
      </c>
      <c r="K541" s="209">
        <v>0</v>
      </c>
      <c r="L541" s="209">
        <v>-48886.03</v>
      </c>
      <c r="M541" s="209">
        <v>33832.97</v>
      </c>
      <c r="N541" s="242">
        <v>26313.97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-71100</v>
      </c>
      <c r="H542" s="239"/>
      <c r="I542" s="239"/>
      <c r="J542" s="210">
        <v>0</v>
      </c>
      <c r="K542" s="209">
        <v>0</v>
      </c>
      <c r="L542" s="209">
        <v>-71100</v>
      </c>
      <c r="M542" s="209">
        <v>0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-35550</v>
      </c>
      <c r="H543" s="239"/>
      <c r="I543" s="239"/>
      <c r="J543" s="210">
        <v>0</v>
      </c>
      <c r="K543" s="209">
        <v>0</v>
      </c>
      <c r="L543" s="209">
        <v>-35550</v>
      </c>
      <c r="M543" s="209">
        <v>0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-35550</v>
      </c>
      <c r="H544" s="239"/>
      <c r="I544" s="239"/>
      <c r="J544" s="210">
        <v>0</v>
      </c>
      <c r="K544" s="209">
        <v>0</v>
      </c>
      <c r="L544" s="209">
        <v>-35550</v>
      </c>
      <c r="M544" s="209">
        <v>0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-41400</v>
      </c>
      <c r="H545" s="239"/>
      <c r="I545" s="239"/>
      <c r="J545" s="210">
        <v>0</v>
      </c>
      <c r="K545" s="209">
        <v>0</v>
      </c>
      <c r="L545" s="209">
        <v>-41400</v>
      </c>
      <c r="M545" s="209">
        <v>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-174447</v>
      </c>
      <c r="H546" s="239"/>
      <c r="I546" s="239"/>
      <c r="J546" s="210">
        <v>0</v>
      </c>
      <c r="K546" s="209">
        <v>0</v>
      </c>
      <c r="L546" s="209">
        <v>-174447</v>
      </c>
      <c r="M546" s="209">
        <v>0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-189600</v>
      </c>
      <c r="H586" s="239"/>
      <c r="I586" s="239"/>
      <c r="J586" s="210">
        <v>0</v>
      </c>
      <c r="K586" s="209">
        <v>0</v>
      </c>
      <c r="L586" s="209">
        <v>-189600</v>
      </c>
      <c r="M586" s="209">
        <v>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-542510.59</v>
      </c>
      <c r="H587" s="239"/>
      <c r="I587" s="239"/>
      <c r="J587" s="210">
        <v>-0.1</v>
      </c>
      <c r="K587" s="209">
        <v>0</v>
      </c>
      <c r="L587" s="209">
        <v>-542510.68999999994</v>
      </c>
      <c r="M587" s="209">
        <v>0.1</v>
      </c>
      <c r="N587" s="242">
        <v>0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-246018.32</v>
      </c>
      <c r="H588" s="239"/>
      <c r="I588" s="239"/>
      <c r="J588" s="210">
        <v>-49206</v>
      </c>
      <c r="K588" s="209">
        <v>0</v>
      </c>
      <c r="L588" s="209">
        <v>-295224.32000000001</v>
      </c>
      <c r="M588" s="209">
        <v>492060.41</v>
      </c>
      <c r="N588" s="242">
        <v>442854.41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-128214.76</v>
      </c>
      <c r="H589" s="239"/>
      <c r="I589" s="239"/>
      <c r="J589" s="210">
        <v>-0.24</v>
      </c>
      <c r="K589" s="209">
        <v>0</v>
      </c>
      <c r="L589" s="209">
        <v>-128215</v>
      </c>
      <c r="M589" s="209">
        <v>0.24</v>
      </c>
      <c r="N589" s="242">
        <v>0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-8919.3799999999992</v>
      </c>
      <c r="H590" s="239"/>
      <c r="I590" s="239"/>
      <c r="J590" s="210">
        <v>-151.74</v>
      </c>
      <c r="K590" s="209">
        <v>0</v>
      </c>
      <c r="L590" s="209">
        <v>-9071.1200000000008</v>
      </c>
      <c r="M590" s="209">
        <v>151.74</v>
      </c>
      <c r="N590" s="242">
        <v>0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-26070.76</v>
      </c>
      <c r="H591" s="239"/>
      <c r="I591" s="239"/>
      <c r="J591" s="210">
        <v>-442.22</v>
      </c>
      <c r="K591" s="209">
        <v>0</v>
      </c>
      <c r="L591" s="209">
        <v>-26512.98</v>
      </c>
      <c r="M591" s="209">
        <v>442.22</v>
      </c>
      <c r="N591" s="242">
        <v>0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-62605</v>
      </c>
      <c r="H592" s="239"/>
      <c r="I592" s="239"/>
      <c r="J592" s="210">
        <v>-3295</v>
      </c>
      <c r="K592" s="209">
        <v>0</v>
      </c>
      <c r="L592" s="209">
        <v>-65900</v>
      </c>
      <c r="M592" s="209">
        <v>3295</v>
      </c>
      <c r="N592" s="242">
        <v>0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-37527</v>
      </c>
      <c r="H593" s="239"/>
      <c r="I593" s="239"/>
      <c r="J593" s="210">
        <v>-1975.5</v>
      </c>
      <c r="K593" s="209">
        <v>0</v>
      </c>
      <c r="L593" s="209">
        <v>-39502.5</v>
      </c>
      <c r="M593" s="209">
        <v>1975.5</v>
      </c>
      <c r="N593" s="242">
        <v>0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-122421</v>
      </c>
      <c r="H594" s="239"/>
      <c r="I594" s="239"/>
      <c r="J594" s="210">
        <v>-27715</v>
      </c>
      <c r="K594" s="209">
        <v>0</v>
      </c>
      <c r="L594" s="209">
        <v>-150136</v>
      </c>
      <c r="M594" s="209">
        <v>154745</v>
      </c>
      <c r="N594" s="242">
        <v>127030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-72916</v>
      </c>
      <c r="H595" s="239"/>
      <c r="I595" s="239"/>
      <c r="J595" s="210">
        <v>-9629</v>
      </c>
      <c r="K595" s="209">
        <v>0</v>
      </c>
      <c r="L595" s="209">
        <v>-82545</v>
      </c>
      <c r="M595" s="209">
        <v>9629</v>
      </c>
      <c r="N595" s="242">
        <v>0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-259435</v>
      </c>
      <c r="H596" s="239"/>
      <c r="I596" s="239"/>
      <c r="J596" s="210">
        <v>-58740</v>
      </c>
      <c r="K596" s="209">
        <v>0</v>
      </c>
      <c r="L596" s="209">
        <v>-318175</v>
      </c>
      <c r="M596" s="209">
        <v>327965</v>
      </c>
      <c r="N596" s="242">
        <v>269225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-181436</v>
      </c>
      <c r="H597" s="239"/>
      <c r="I597" s="239"/>
      <c r="J597" s="210">
        <v>-23964</v>
      </c>
      <c r="K597" s="209">
        <v>0</v>
      </c>
      <c r="L597" s="209">
        <v>-205400</v>
      </c>
      <c r="M597" s="209">
        <v>23964</v>
      </c>
      <c r="N597" s="242">
        <v>0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-46549</v>
      </c>
      <c r="H598" s="239"/>
      <c r="I598" s="239"/>
      <c r="J598" s="210">
        <v>-10745</v>
      </c>
      <c r="K598" s="209">
        <v>0</v>
      </c>
      <c r="L598" s="209">
        <v>-57294</v>
      </c>
      <c r="M598" s="209">
        <v>114608.5</v>
      </c>
      <c r="N598" s="242">
        <v>103863.5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-46549</v>
      </c>
      <c r="H599" s="239"/>
      <c r="I599" s="239"/>
      <c r="J599" s="210">
        <v>-10745</v>
      </c>
      <c r="K599" s="209">
        <v>0</v>
      </c>
      <c r="L599" s="209">
        <v>-57294</v>
      </c>
      <c r="M599" s="209">
        <v>114608.5</v>
      </c>
      <c r="N599" s="242">
        <v>103863.5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-46549</v>
      </c>
      <c r="H600" s="239"/>
      <c r="I600" s="239"/>
      <c r="J600" s="210">
        <v>-10745</v>
      </c>
      <c r="K600" s="209">
        <v>0</v>
      </c>
      <c r="L600" s="209">
        <v>-57294</v>
      </c>
      <c r="M600" s="209">
        <v>114608.5</v>
      </c>
      <c r="N600" s="242">
        <v>103863.5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-46549</v>
      </c>
      <c r="H601" s="239"/>
      <c r="I601" s="239"/>
      <c r="J601" s="210">
        <v>-10745</v>
      </c>
      <c r="K601" s="209">
        <v>0</v>
      </c>
      <c r="L601" s="209">
        <v>-57294</v>
      </c>
      <c r="M601" s="209">
        <v>114608.5</v>
      </c>
      <c r="N601" s="242">
        <v>103863.5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-46549</v>
      </c>
      <c r="H602" s="239"/>
      <c r="I602" s="239"/>
      <c r="J602" s="210">
        <v>-10745</v>
      </c>
      <c r="K602" s="209">
        <v>0</v>
      </c>
      <c r="L602" s="209">
        <v>-57294</v>
      </c>
      <c r="M602" s="209">
        <v>114608.5</v>
      </c>
      <c r="N602" s="242">
        <v>103863.5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-46549</v>
      </c>
      <c r="H603" s="239"/>
      <c r="I603" s="239"/>
      <c r="J603" s="210">
        <v>-10745</v>
      </c>
      <c r="K603" s="209">
        <v>0</v>
      </c>
      <c r="L603" s="209">
        <v>-57294</v>
      </c>
      <c r="M603" s="209">
        <v>114608.5</v>
      </c>
      <c r="N603" s="242">
        <v>103863.5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-46549</v>
      </c>
      <c r="H604" s="239"/>
      <c r="I604" s="239"/>
      <c r="J604" s="210">
        <v>-10745</v>
      </c>
      <c r="K604" s="209">
        <v>0</v>
      </c>
      <c r="L604" s="209">
        <v>-57294</v>
      </c>
      <c r="M604" s="209">
        <v>114608.5</v>
      </c>
      <c r="N604" s="242">
        <v>103863.5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-46549</v>
      </c>
      <c r="H605" s="239"/>
      <c r="I605" s="239"/>
      <c r="J605" s="210">
        <v>-10745</v>
      </c>
      <c r="K605" s="209">
        <v>0</v>
      </c>
      <c r="L605" s="209">
        <v>-57294</v>
      </c>
      <c r="M605" s="209">
        <v>114608.5</v>
      </c>
      <c r="N605" s="242">
        <v>103863.5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-894522</v>
      </c>
      <c r="H606" s="239"/>
      <c r="I606" s="239"/>
      <c r="J606" s="210">
        <v>-214686</v>
      </c>
      <c r="K606" s="209">
        <v>0</v>
      </c>
      <c r="L606" s="209">
        <v>-1109208</v>
      </c>
      <c r="M606" s="209">
        <v>2325765.21</v>
      </c>
      <c r="N606" s="242">
        <v>2111079.21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-33911</v>
      </c>
      <c r="H607" s="239"/>
      <c r="I607" s="239"/>
      <c r="J607" s="210">
        <v>-6785</v>
      </c>
      <c r="K607" s="209">
        <v>0</v>
      </c>
      <c r="L607" s="209">
        <v>-40696</v>
      </c>
      <c r="M607" s="209">
        <v>6785</v>
      </c>
      <c r="N607" s="242">
        <v>0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-72493</v>
      </c>
      <c r="H608" s="239"/>
      <c r="I608" s="239"/>
      <c r="J608" s="210">
        <v>-17754</v>
      </c>
      <c r="K608" s="209">
        <v>0</v>
      </c>
      <c r="L608" s="209">
        <v>-90247</v>
      </c>
      <c r="M608" s="209">
        <v>105044.63</v>
      </c>
      <c r="N608" s="242">
        <v>87290.63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-78400</v>
      </c>
      <c r="H609" s="239"/>
      <c r="I609" s="239"/>
      <c r="J609" s="210">
        <v>-17600</v>
      </c>
      <c r="K609" s="209">
        <v>0</v>
      </c>
      <c r="L609" s="209">
        <v>-96000</v>
      </c>
      <c r="M609" s="209">
        <v>17600</v>
      </c>
      <c r="N609" s="242">
        <v>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-112122</v>
      </c>
      <c r="H610" s="239"/>
      <c r="I610" s="239"/>
      <c r="J610" s="210">
        <v>-27461</v>
      </c>
      <c r="K610" s="209">
        <v>0</v>
      </c>
      <c r="L610" s="209">
        <v>-139583</v>
      </c>
      <c r="M610" s="209">
        <v>162478</v>
      </c>
      <c r="N610" s="242">
        <v>135017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-445397</v>
      </c>
      <c r="H611" s="239"/>
      <c r="I611" s="239"/>
      <c r="J611" s="210">
        <v>-99984</v>
      </c>
      <c r="K611" s="209">
        <v>0</v>
      </c>
      <c r="L611" s="209">
        <v>-545381</v>
      </c>
      <c r="M611" s="209">
        <v>99984</v>
      </c>
      <c r="N611" s="242">
        <v>0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-131048</v>
      </c>
      <c r="H612" s="239"/>
      <c r="I612" s="239"/>
      <c r="J612" s="210">
        <v>-32094</v>
      </c>
      <c r="K612" s="209">
        <v>0</v>
      </c>
      <c r="L612" s="209">
        <v>-163142</v>
      </c>
      <c r="M612" s="209">
        <v>189889.43</v>
      </c>
      <c r="N612" s="242">
        <v>157795.43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-129994</v>
      </c>
      <c r="H613" s="239"/>
      <c r="I613" s="239"/>
      <c r="J613" s="210">
        <v>-32501</v>
      </c>
      <c r="K613" s="209">
        <v>0</v>
      </c>
      <c r="L613" s="209">
        <v>-162495</v>
      </c>
      <c r="M613" s="209">
        <v>195006</v>
      </c>
      <c r="N613" s="242">
        <v>162505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-123998</v>
      </c>
      <c r="H614" s="239"/>
      <c r="I614" s="239"/>
      <c r="J614" s="210">
        <v>-31002</v>
      </c>
      <c r="K614" s="209">
        <v>0</v>
      </c>
      <c r="L614" s="209">
        <v>-155000</v>
      </c>
      <c r="M614" s="209">
        <v>31002</v>
      </c>
      <c r="N614" s="242">
        <v>0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-61063</v>
      </c>
      <c r="H615" s="239"/>
      <c r="I615" s="239"/>
      <c r="J615" s="210">
        <v>-15267</v>
      </c>
      <c r="K615" s="209">
        <v>0</v>
      </c>
      <c r="L615" s="209">
        <v>-76330</v>
      </c>
      <c r="M615" s="209">
        <v>15267.42</v>
      </c>
      <c r="N615" s="242">
        <v>0.42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-74002</v>
      </c>
      <c r="H616" s="239"/>
      <c r="I616" s="239"/>
      <c r="J616" s="210">
        <v>-18498</v>
      </c>
      <c r="K616" s="209">
        <v>0</v>
      </c>
      <c r="L616" s="209">
        <v>-92500</v>
      </c>
      <c r="M616" s="209">
        <v>18498</v>
      </c>
      <c r="N616" s="242">
        <v>0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-45944</v>
      </c>
      <c r="H617" s="239"/>
      <c r="I617" s="239"/>
      <c r="J617" s="210">
        <v>-11488</v>
      </c>
      <c r="K617" s="209">
        <v>0</v>
      </c>
      <c r="L617" s="209">
        <v>-57432</v>
      </c>
      <c r="M617" s="209">
        <v>126367.5</v>
      </c>
      <c r="N617" s="242">
        <v>114879.5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-237942</v>
      </c>
      <c r="H618" s="239"/>
      <c r="I618" s="239"/>
      <c r="J618" s="210">
        <v>-59487</v>
      </c>
      <c r="K618" s="209">
        <v>0</v>
      </c>
      <c r="L618" s="209">
        <v>-297429</v>
      </c>
      <c r="M618" s="209">
        <v>356922</v>
      </c>
      <c r="N618" s="242">
        <v>297435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-41961</v>
      </c>
      <c r="H619" s="239"/>
      <c r="I619" s="239"/>
      <c r="J619" s="210">
        <v>-10492</v>
      </c>
      <c r="K619" s="209">
        <v>0</v>
      </c>
      <c r="L619" s="209">
        <v>-52453</v>
      </c>
      <c r="M619" s="209">
        <v>62954</v>
      </c>
      <c r="N619" s="242">
        <v>52462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-40363</v>
      </c>
      <c r="H620" s="239"/>
      <c r="I620" s="239"/>
      <c r="J620" s="210">
        <v>-10090</v>
      </c>
      <c r="K620" s="209">
        <v>0</v>
      </c>
      <c r="L620" s="209">
        <v>-50453</v>
      </c>
      <c r="M620" s="209">
        <v>60538</v>
      </c>
      <c r="N620" s="242">
        <v>50448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-140160</v>
      </c>
      <c r="H621" s="239"/>
      <c r="I621" s="239"/>
      <c r="J621" s="210">
        <v>-35040</v>
      </c>
      <c r="K621" s="209">
        <v>0</v>
      </c>
      <c r="L621" s="209">
        <v>-175200</v>
      </c>
      <c r="M621" s="209">
        <v>385440</v>
      </c>
      <c r="N621" s="242">
        <v>350400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-1085069</v>
      </c>
      <c r="H622" s="239"/>
      <c r="I622" s="239"/>
      <c r="J622" s="210">
        <v>-271266</v>
      </c>
      <c r="K622" s="209">
        <v>0</v>
      </c>
      <c r="L622" s="209">
        <v>-1356335</v>
      </c>
      <c r="M622" s="209">
        <v>1627596.38</v>
      </c>
      <c r="N622" s="242">
        <v>1356330.38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-76370</v>
      </c>
      <c r="H623" s="239"/>
      <c r="I623" s="239"/>
      <c r="J623" s="210">
        <v>-20367</v>
      </c>
      <c r="K623" s="209">
        <v>0</v>
      </c>
      <c r="L623" s="209">
        <v>-96737</v>
      </c>
      <c r="M623" s="209">
        <v>127291.55</v>
      </c>
      <c r="N623" s="242">
        <v>106924.55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-249713</v>
      </c>
      <c r="H624" s="239"/>
      <c r="I624" s="239"/>
      <c r="J624" s="210">
        <v>-66592</v>
      </c>
      <c r="K624" s="209">
        <v>0</v>
      </c>
      <c r="L624" s="209">
        <v>-316305</v>
      </c>
      <c r="M624" s="209">
        <v>749157.5</v>
      </c>
      <c r="N624" s="242">
        <v>682565.5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-66798</v>
      </c>
      <c r="H625" s="239"/>
      <c r="I625" s="239"/>
      <c r="J625" s="210">
        <v>-18219</v>
      </c>
      <c r="K625" s="209">
        <v>0</v>
      </c>
      <c r="L625" s="209">
        <v>-85017</v>
      </c>
      <c r="M625" s="209">
        <v>24292</v>
      </c>
      <c r="N625" s="242">
        <v>6073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-231000</v>
      </c>
      <c r="H626" s="239"/>
      <c r="I626" s="239"/>
      <c r="J626" s="210">
        <v>-63000</v>
      </c>
      <c r="K626" s="209">
        <v>0</v>
      </c>
      <c r="L626" s="209">
        <v>-294000</v>
      </c>
      <c r="M626" s="209">
        <v>84000</v>
      </c>
      <c r="N626" s="242">
        <v>21000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-140949</v>
      </c>
      <c r="H627" s="239"/>
      <c r="I627" s="239"/>
      <c r="J627" s="210">
        <v>-44512</v>
      </c>
      <c r="K627" s="209">
        <v>0</v>
      </c>
      <c r="L627" s="209">
        <v>-185461</v>
      </c>
      <c r="M627" s="209">
        <v>526719</v>
      </c>
      <c r="N627" s="242">
        <v>482207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-171304</v>
      </c>
      <c r="H628" s="239"/>
      <c r="I628" s="239"/>
      <c r="J628" s="210">
        <v>-54097</v>
      </c>
      <c r="K628" s="209">
        <v>0</v>
      </c>
      <c r="L628" s="209">
        <v>-225401</v>
      </c>
      <c r="M628" s="209">
        <v>640138.69999999995</v>
      </c>
      <c r="N628" s="242">
        <v>586041.69999999995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-25891</v>
      </c>
      <c r="H629" s="239"/>
      <c r="I629" s="239"/>
      <c r="J629" s="210">
        <v>-8178</v>
      </c>
      <c r="K629" s="209">
        <v>0</v>
      </c>
      <c r="L629" s="209">
        <v>-34069</v>
      </c>
      <c r="M629" s="209">
        <v>14993</v>
      </c>
      <c r="N629" s="242">
        <v>6815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-20646</v>
      </c>
      <c r="H630" s="239"/>
      <c r="I630" s="239"/>
      <c r="J630" s="210">
        <v>-6696</v>
      </c>
      <c r="K630" s="209">
        <v>0</v>
      </c>
      <c r="L630" s="209">
        <v>-27342</v>
      </c>
      <c r="M630" s="209">
        <v>12834</v>
      </c>
      <c r="N630" s="242">
        <v>6138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-36166</v>
      </c>
      <c r="H631" s="239"/>
      <c r="I631" s="239"/>
      <c r="J631" s="210">
        <v>-11730</v>
      </c>
      <c r="K631" s="209">
        <v>0</v>
      </c>
      <c r="L631" s="209">
        <v>-47896</v>
      </c>
      <c r="M631" s="209">
        <v>22482.75</v>
      </c>
      <c r="N631" s="242">
        <v>10752.75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-68414</v>
      </c>
      <c r="H632" s="239"/>
      <c r="I632" s="239"/>
      <c r="J632" s="210">
        <v>-22189</v>
      </c>
      <c r="K632" s="209">
        <v>0</v>
      </c>
      <c r="L632" s="209">
        <v>-90603</v>
      </c>
      <c r="M632" s="209">
        <v>264415.59999999998</v>
      </c>
      <c r="N632" s="242">
        <v>242226.6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-432149</v>
      </c>
      <c r="H633" s="239"/>
      <c r="I633" s="239"/>
      <c r="J633" s="210">
        <v>-140155</v>
      </c>
      <c r="K633" s="209">
        <v>0</v>
      </c>
      <c r="L633" s="209">
        <v>-572304</v>
      </c>
      <c r="M633" s="209">
        <v>1670178</v>
      </c>
      <c r="N633" s="242">
        <v>1530023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-167931</v>
      </c>
      <c r="H634" s="239"/>
      <c r="I634" s="239"/>
      <c r="J634" s="210">
        <v>-54462</v>
      </c>
      <c r="K634" s="209">
        <v>0</v>
      </c>
      <c r="L634" s="209">
        <v>-222393</v>
      </c>
      <c r="M634" s="209">
        <v>649006</v>
      </c>
      <c r="N634" s="242">
        <v>594544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-104751</v>
      </c>
      <c r="H635" s="239"/>
      <c r="I635" s="239"/>
      <c r="J635" s="210">
        <v>-33974</v>
      </c>
      <c r="K635" s="209">
        <v>0</v>
      </c>
      <c r="L635" s="209">
        <v>-138725</v>
      </c>
      <c r="M635" s="209">
        <v>404857</v>
      </c>
      <c r="N635" s="242">
        <v>370883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-86132</v>
      </c>
      <c r="H636" s="239"/>
      <c r="I636" s="239"/>
      <c r="J636" s="210">
        <v>-27935</v>
      </c>
      <c r="K636" s="209">
        <v>0</v>
      </c>
      <c r="L636" s="209">
        <v>-114067</v>
      </c>
      <c r="M636" s="209">
        <v>332883.67</v>
      </c>
      <c r="N636" s="242">
        <v>304948.67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-84251</v>
      </c>
      <c r="H637" s="239"/>
      <c r="I637" s="239"/>
      <c r="J637" s="210">
        <v>-27326</v>
      </c>
      <c r="K637" s="209">
        <v>0</v>
      </c>
      <c r="L637" s="209">
        <v>-111577</v>
      </c>
      <c r="M637" s="209">
        <v>52373.75</v>
      </c>
      <c r="N637" s="242">
        <v>25047.75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-97170</v>
      </c>
      <c r="H638" s="239"/>
      <c r="I638" s="239"/>
      <c r="J638" s="210">
        <v>-32390</v>
      </c>
      <c r="K638" s="209">
        <v>0</v>
      </c>
      <c r="L638" s="209">
        <v>-129560</v>
      </c>
      <c r="M638" s="209">
        <v>226734</v>
      </c>
      <c r="N638" s="242">
        <v>194344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-393996</v>
      </c>
      <c r="H639" s="239"/>
      <c r="I639" s="239"/>
      <c r="J639" s="210">
        <v>-131334</v>
      </c>
      <c r="K639" s="209">
        <v>0</v>
      </c>
      <c r="L639" s="209">
        <v>-525330</v>
      </c>
      <c r="M639" s="209">
        <v>919338.25</v>
      </c>
      <c r="N639" s="242">
        <v>788004.25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-46447</v>
      </c>
      <c r="H640" s="239"/>
      <c r="I640" s="239"/>
      <c r="J640" s="210">
        <v>-15484</v>
      </c>
      <c r="K640" s="209">
        <v>0</v>
      </c>
      <c r="L640" s="209">
        <v>-61931</v>
      </c>
      <c r="M640" s="209">
        <v>30967.43</v>
      </c>
      <c r="N640" s="242">
        <v>15483.43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-83343</v>
      </c>
      <c r="H641" s="239"/>
      <c r="I641" s="239"/>
      <c r="J641" s="210">
        <v>-27782</v>
      </c>
      <c r="K641" s="209">
        <v>0</v>
      </c>
      <c r="L641" s="209">
        <v>-111125</v>
      </c>
      <c r="M641" s="209">
        <v>194471.5</v>
      </c>
      <c r="N641" s="242">
        <v>166689.5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-23259</v>
      </c>
      <c r="H642" s="239"/>
      <c r="I642" s="239"/>
      <c r="J642" s="210">
        <v>-7753</v>
      </c>
      <c r="K642" s="209">
        <v>0</v>
      </c>
      <c r="L642" s="209">
        <v>-31012</v>
      </c>
      <c r="M642" s="209">
        <v>54272.18</v>
      </c>
      <c r="N642" s="242">
        <v>46519.18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-11516</v>
      </c>
      <c r="H643" s="239"/>
      <c r="I643" s="239"/>
      <c r="J643" s="210">
        <v>-3838</v>
      </c>
      <c r="K643" s="209">
        <v>0</v>
      </c>
      <c r="L643" s="209">
        <v>-15354</v>
      </c>
      <c r="M643" s="209">
        <v>26867.25</v>
      </c>
      <c r="N643" s="242">
        <v>23029.25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-85173</v>
      </c>
      <c r="H644" s="239"/>
      <c r="I644" s="239"/>
      <c r="J644" s="210">
        <v>-30061</v>
      </c>
      <c r="K644" s="209">
        <v>0</v>
      </c>
      <c r="L644" s="209">
        <v>-115234</v>
      </c>
      <c r="M644" s="209">
        <v>65132.800000000003</v>
      </c>
      <c r="N644" s="242">
        <v>35071.800000000003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-109451</v>
      </c>
      <c r="H645" s="239"/>
      <c r="I645" s="239"/>
      <c r="J645" s="210">
        <v>-39800</v>
      </c>
      <c r="K645" s="209">
        <v>0</v>
      </c>
      <c r="L645" s="209">
        <v>-149251</v>
      </c>
      <c r="M645" s="209">
        <v>89549</v>
      </c>
      <c r="N645" s="242">
        <v>49749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-57045</v>
      </c>
      <c r="H646" s="239"/>
      <c r="I646" s="239"/>
      <c r="J646" s="210">
        <v>-20743</v>
      </c>
      <c r="K646" s="209">
        <v>0</v>
      </c>
      <c r="L646" s="209">
        <v>-77788</v>
      </c>
      <c r="M646" s="209">
        <v>46670.62</v>
      </c>
      <c r="N646" s="242">
        <v>25927.62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-128927</v>
      </c>
      <c r="H647" s="239"/>
      <c r="I647" s="239"/>
      <c r="J647" s="210">
        <v>-46883</v>
      </c>
      <c r="K647" s="209">
        <v>0</v>
      </c>
      <c r="L647" s="209">
        <v>-175810</v>
      </c>
      <c r="M647" s="209">
        <v>339897</v>
      </c>
      <c r="N647" s="242">
        <v>293014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-9818</v>
      </c>
      <c r="H648" s="239"/>
      <c r="I648" s="239"/>
      <c r="J648" s="210">
        <v>-3570</v>
      </c>
      <c r="K648" s="209">
        <v>0</v>
      </c>
      <c r="L648" s="209">
        <v>-13388</v>
      </c>
      <c r="M648" s="209">
        <v>25882</v>
      </c>
      <c r="N648" s="242">
        <v>22312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-43560</v>
      </c>
      <c r="H649" s="239"/>
      <c r="I649" s="239"/>
      <c r="J649" s="210">
        <v>-15840</v>
      </c>
      <c r="K649" s="209">
        <v>0</v>
      </c>
      <c r="L649" s="209">
        <v>-59400</v>
      </c>
      <c r="M649" s="209">
        <v>114840</v>
      </c>
      <c r="N649" s="242">
        <v>99000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-27498</v>
      </c>
      <c r="H650" s="239"/>
      <c r="I650" s="239"/>
      <c r="J650" s="210">
        <v>-10000</v>
      </c>
      <c r="K650" s="209">
        <v>0</v>
      </c>
      <c r="L650" s="209">
        <v>-37498</v>
      </c>
      <c r="M650" s="209">
        <v>122502</v>
      </c>
      <c r="N650" s="242">
        <v>112502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-164658</v>
      </c>
      <c r="H651" s="239"/>
      <c r="I651" s="239"/>
      <c r="J651" s="210">
        <v>-59874</v>
      </c>
      <c r="K651" s="209">
        <v>0</v>
      </c>
      <c r="L651" s="209">
        <v>-224532</v>
      </c>
      <c r="M651" s="209">
        <v>434088.98</v>
      </c>
      <c r="N651" s="242">
        <v>374214.98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-110555</v>
      </c>
      <c r="H652" s="239"/>
      <c r="I652" s="239"/>
      <c r="J652" s="210">
        <v>-42796</v>
      </c>
      <c r="K652" s="209">
        <v>0</v>
      </c>
      <c r="L652" s="209">
        <v>-153351</v>
      </c>
      <c r="M652" s="209">
        <v>317405</v>
      </c>
      <c r="N652" s="242">
        <v>274609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-247802</v>
      </c>
      <c r="H653" s="239"/>
      <c r="I653" s="239"/>
      <c r="J653" s="210">
        <v>-95923</v>
      </c>
      <c r="K653" s="209">
        <v>0</v>
      </c>
      <c r="L653" s="209">
        <v>-343725</v>
      </c>
      <c r="M653" s="209">
        <v>231812.85</v>
      </c>
      <c r="N653" s="242">
        <v>135889.85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-69999</v>
      </c>
      <c r="H654" s="239"/>
      <c r="I654" s="239"/>
      <c r="J654" s="210">
        <v>-28000</v>
      </c>
      <c r="K654" s="209">
        <v>0</v>
      </c>
      <c r="L654" s="209">
        <v>-97999</v>
      </c>
      <c r="M654" s="209">
        <v>350001</v>
      </c>
      <c r="N654" s="242">
        <v>322001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-204952</v>
      </c>
      <c r="H655" s="239"/>
      <c r="I655" s="239"/>
      <c r="J655" s="210">
        <v>-91090</v>
      </c>
      <c r="K655" s="209">
        <v>0</v>
      </c>
      <c r="L655" s="209">
        <v>-296042</v>
      </c>
      <c r="M655" s="209">
        <v>250497</v>
      </c>
      <c r="N655" s="242">
        <v>159407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-83648</v>
      </c>
      <c r="H656" s="239"/>
      <c r="I656" s="239"/>
      <c r="J656" s="210">
        <v>-37177</v>
      </c>
      <c r="K656" s="209">
        <v>0</v>
      </c>
      <c r="L656" s="209">
        <v>-120825</v>
      </c>
      <c r="M656" s="209">
        <v>102237</v>
      </c>
      <c r="N656" s="242">
        <v>65060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-151931</v>
      </c>
      <c r="H657" s="239"/>
      <c r="I657" s="239"/>
      <c r="J657" s="210">
        <v>-67524</v>
      </c>
      <c r="K657" s="209">
        <v>0</v>
      </c>
      <c r="L657" s="209">
        <v>-219455</v>
      </c>
      <c r="M657" s="209">
        <v>523316.9</v>
      </c>
      <c r="N657" s="242">
        <v>455792.9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-38430</v>
      </c>
      <c r="H658" s="239"/>
      <c r="I658" s="239"/>
      <c r="J658" s="210">
        <v>-17080</v>
      </c>
      <c r="K658" s="209">
        <v>0</v>
      </c>
      <c r="L658" s="209">
        <v>-55510</v>
      </c>
      <c r="M658" s="209">
        <v>46970</v>
      </c>
      <c r="N658" s="242">
        <v>29890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-50049</v>
      </c>
      <c r="H659" s="239"/>
      <c r="I659" s="239"/>
      <c r="J659" s="210">
        <v>-22243</v>
      </c>
      <c r="K659" s="209">
        <v>0</v>
      </c>
      <c r="L659" s="209">
        <v>-72292</v>
      </c>
      <c r="M659" s="209">
        <v>61169.45</v>
      </c>
      <c r="N659" s="242">
        <v>38926.449999999997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-67135</v>
      </c>
      <c r="H660" s="239"/>
      <c r="I660" s="239"/>
      <c r="J660" s="210">
        <v>-30985</v>
      </c>
      <c r="K660" s="209">
        <v>0</v>
      </c>
      <c r="L660" s="209">
        <v>-98120</v>
      </c>
      <c r="M660" s="209">
        <v>242718.21</v>
      </c>
      <c r="N660" s="242">
        <v>211733.21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-54894</v>
      </c>
      <c r="H661" s="239"/>
      <c r="I661" s="239"/>
      <c r="J661" s="210">
        <v>-25335</v>
      </c>
      <c r="K661" s="209">
        <v>0</v>
      </c>
      <c r="L661" s="209">
        <v>-80229</v>
      </c>
      <c r="M661" s="209">
        <v>198461.85</v>
      </c>
      <c r="N661" s="242">
        <v>173126.85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-3508320.44</v>
      </c>
      <c r="H743" s="239"/>
      <c r="I743" s="239"/>
      <c r="J743" s="210">
        <v>-247702</v>
      </c>
      <c r="K743" s="209">
        <v>0</v>
      </c>
      <c r="L743" s="209">
        <v>-3756022.44</v>
      </c>
      <c r="M743" s="209">
        <v>495403.06</v>
      </c>
      <c r="N743" s="242">
        <v>247701.06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-1367759.52</v>
      </c>
      <c r="H769" s="239"/>
      <c r="I769" s="239"/>
      <c r="J769" s="210">
        <v>-96570</v>
      </c>
      <c r="K769" s="209">
        <v>0</v>
      </c>
      <c r="L769" s="209">
        <v>-1464329.52</v>
      </c>
      <c r="M769" s="209">
        <v>482849.72</v>
      </c>
      <c r="N769" s="242">
        <v>386279.72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-2607950.39</v>
      </c>
      <c r="H798" s="239"/>
      <c r="I798" s="239"/>
      <c r="J798" s="210">
        <v>-200610</v>
      </c>
      <c r="K798" s="209">
        <v>0</v>
      </c>
      <c r="L798" s="209">
        <v>-2808560.39</v>
      </c>
      <c r="M798" s="209">
        <v>401219.61</v>
      </c>
      <c r="N798" s="242">
        <v>200609.61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-836800</v>
      </c>
      <c r="H843" s="239"/>
      <c r="I843" s="239"/>
      <c r="J843" s="210">
        <v>0</v>
      </c>
      <c r="K843" s="209">
        <v>0</v>
      </c>
      <c r="L843" s="209">
        <v>-836800</v>
      </c>
      <c r="M843" s="209">
        <v>0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-51264</v>
      </c>
      <c r="H846" s="239"/>
      <c r="I846" s="239"/>
      <c r="J846" s="210">
        <v>0</v>
      </c>
      <c r="K846" s="209">
        <v>0</v>
      </c>
      <c r="L846" s="209">
        <v>-51264</v>
      </c>
      <c r="M846" s="209">
        <v>0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-432660</v>
      </c>
      <c r="H850" s="239"/>
      <c r="I850" s="239"/>
      <c r="J850" s="210">
        <v>0</v>
      </c>
      <c r="K850" s="209">
        <v>0</v>
      </c>
      <c r="L850" s="209">
        <v>-432660</v>
      </c>
      <c r="M850" s="209">
        <v>0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-8114079.9100000001</v>
      </c>
      <c r="H860" s="239"/>
      <c r="I860" s="239"/>
      <c r="J860" s="210">
        <v>-0.09</v>
      </c>
      <c r="K860" s="209">
        <v>0</v>
      </c>
      <c r="L860" s="209">
        <v>-8114080</v>
      </c>
      <c r="M860" s="209">
        <v>0.09</v>
      </c>
      <c r="N860" s="242">
        <v>0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-948740.88</v>
      </c>
      <c r="H861" s="239"/>
      <c r="I861" s="239"/>
      <c r="J861" s="210">
        <v>0</v>
      </c>
      <c r="K861" s="209">
        <v>0</v>
      </c>
      <c r="L861" s="209">
        <v>-948740.88</v>
      </c>
      <c r="M861" s="209">
        <v>0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-99091865.790000007</v>
      </c>
      <c r="H862" s="244"/>
      <c r="I862" s="244"/>
      <c r="J862" s="208">
        <v>-5795626.2199999997</v>
      </c>
      <c r="K862" s="207">
        <v>0</v>
      </c>
      <c r="L862" s="207">
        <v>-104887492.01000001</v>
      </c>
      <c r="M862" s="207">
        <v>34877209.140000001</v>
      </c>
      <c r="N862" s="245">
        <v>29081582.920000002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-236302671.36000001</v>
      </c>
      <c r="H871" s="239"/>
      <c r="I871" s="239"/>
      <c r="J871" s="202">
        <v>-9032188.3499999996</v>
      </c>
      <c r="K871" s="201">
        <v>0</v>
      </c>
      <c r="L871" s="201">
        <v>-245334859.71000001</v>
      </c>
      <c r="M871" s="201">
        <v>49523054.869999997</v>
      </c>
      <c r="N871" s="253">
        <v>40490866.520000003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145B-07BD-4E60-933A-EF1055A953E8}">
  <dimension ref="A1:O872"/>
  <sheetViews>
    <sheetView showGridLines="0" workbookViewId="0">
      <pane ySplit="15" topLeftCell="A857" activePane="bottomLeft" state="frozen"/>
      <selection pane="bottomLeft" activeCell="J4" sqref="J1:J1048576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1812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1809</v>
      </c>
      <c r="D14" s="212" t="s">
        <v>162</v>
      </c>
      <c r="E14" s="212" t="s">
        <v>163</v>
      </c>
      <c r="F14" s="212" t="s">
        <v>1813</v>
      </c>
      <c r="G14" s="251" t="s">
        <v>1810</v>
      </c>
      <c r="H14" s="239"/>
      <c r="I14" s="239"/>
      <c r="J14" s="213" t="s">
        <v>166</v>
      </c>
      <c r="K14" s="212" t="s">
        <v>167</v>
      </c>
      <c r="L14" s="212" t="s">
        <v>1814</v>
      </c>
      <c r="M14" s="212" t="s">
        <v>1811</v>
      </c>
      <c r="N14" s="251" t="s">
        <v>1815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-1774747.11</v>
      </c>
      <c r="H18" s="239"/>
      <c r="I18" s="239"/>
      <c r="J18" s="210">
        <v>-76334</v>
      </c>
      <c r="K18" s="209">
        <v>0</v>
      </c>
      <c r="L18" s="209">
        <v>-1851081.11</v>
      </c>
      <c r="M18" s="209">
        <v>515252.89</v>
      </c>
      <c r="N18" s="242">
        <v>438918.89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-929000</v>
      </c>
      <c r="H19" s="239"/>
      <c r="I19" s="239"/>
      <c r="J19" s="210">
        <v>0</v>
      </c>
      <c r="K19" s="209">
        <v>0</v>
      </c>
      <c r="L19" s="209">
        <v>-929000</v>
      </c>
      <c r="M19" s="209">
        <v>0</v>
      </c>
      <c r="N19" s="242">
        <v>0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-229999.89</v>
      </c>
      <c r="H20" s="239"/>
      <c r="I20" s="239"/>
      <c r="J20" s="210">
        <v>-0.11</v>
      </c>
      <c r="K20" s="209">
        <v>0</v>
      </c>
      <c r="L20" s="209">
        <v>-230000</v>
      </c>
      <c r="M20" s="209">
        <v>0.11</v>
      </c>
      <c r="N20" s="242">
        <v>0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-969000</v>
      </c>
      <c r="H21" s="239"/>
      <c r="I21" s="239"/>
      <c r="J21" s="210">
        <v>0</v>
      </c>
      <c r="K21" s="209">
        <v>0</v>
      </c>
      <c r="L21" s="209">
        <v>-969000</v>
      </c>
      <c r="M21" s="209">
        <v>0</v>
      </c>
      <c r="N21" s="242">
        <v>0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-3902747</v>
      </c>
      <c r="H22" s="244"/>
      <c r="I22" s="244"/>
      <c r="J22" s="208">
        <v>-76334.11</v>
      </c>
      <c r="K22" s="207">
        <v>0</v>
      </c>
      <c r="L22" s="207">
        <v>-3979081.11</v>
      </c>
      <c r="M22" s="207">
        <v>515253</v>
      </c>
      <c r="N22" s="245">
        <v>438918.89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-6608400</v>
      </c>
      <c r="H36" s="239"/>
      <c r="I36" s="239"/>
      <c r="J36" s="210">
        <v>0</v>
      </c>
      <c r="K36" s="209">
        <v>0</v>
      </c>
      <c r="L36" s="209">
        <v>-6608400</v>
      </c>
      <c r="M36" s="209">
        <v>0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-7138338</v>
      </c>
      <c r="H37" s="239"/>
      <c r="I37" s="239"/>
      <c r="J37" s="210">
        <v>0</v>
      </c>
      <c r="K37" s="209">
        <v>0</v>
      </c>
      <c r="L37" s="209">
        <v>-7138338</v>
      </c>
      <c r="M37" s="209">
        <v>0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-1728820</v>
      </c>
      <c r="H38" s="239"/>
      <c r="I38" s="239"/>
      <c r="J38" s="210">
        <v>0</v>
      </c>
      <c r="K38" s="209">
        <v>0</v>
      </c>
      <c r="L38" s="209">
        <v>-1728820</v>
      </c>
      <c r="M38" s="209">
        <v>0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-1728820</v>
      </c>
      <c r="H39" s="239"/>
      <c r="I39" s="239"/>
      <c r="J39" s="210">
        <v>0</v>
      </c>
      <c r="K39" s="209">
        <v>0</v>
      </c>
      <c r="L39" s="209">
        <v>-1728820</v>
      </c>
      <c r="M39" s="209">
        <v>0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-1728820</v>
      </c>
      <c r="H40" s="239"/>
      <c r="I40" s="239"/>
      <c r="J40" s="210">
        <v>0</v>
      </c>
      <c r="K40" s="209">
        <v>0</v>
      </c>
      <c r="L40" s="209">
        <v>-1728820</v>
      </c>
      <c r="M40" s="209">
        <v>0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-788321.85</v>
      </c>
      <c r="H42" s="239"/>
      <c r="I42" s="239"/>
      <c r="J42" s="210">
        <v>-98730</v>
      </c>
      <c r="K42" s="209">
        <v>0</v>
      </c>
      <c r="L42" s="209">
        <v>-887051.85</v>
      </c>
      <c r="M42" s="209">
        <v>197460.46</v>
      </c>
      <c r="N42" s="242">
        <v>98730.46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-1403771.64</v>
      </c>
      <c r="H44" s="239"/>
      <c r="I44" s="239"/>
      <c r="J44" s="210">
        <v>-163228.35999999999</v>
      </c>
      <c r="K44" s="209">
        <v>0</v>
      </c>
      <c r="L44" s="209">
        <v>-1567000</v>
      </c>
      <c r="M44" s="209">
        <v>163228.35999999999</v>
      </c>
      <c r="N44" s="242">
        <v>0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-1132442.8600000001</v>
      </c>
      <c r="H45" s="239"/>
      <c r="I45" s="239"/>
      <c r="J45" s="210">
        <v>-131905.07999999999</v>
      </c>
      <c r="K45" s="209">
        <v>0</v>
      </c>
      <c r="L45" s="209">
        <v>-1264347.94</v>
      </c>
      <c r="M45" s="209">
        <v>131905.07999999999</v>
      </c>
      <c r="N45" s="242">
        <v>0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-1387448.72</v>
      </c>
      <c r="H47" s="239"/>
      <c r="I47" s="239"/>
      <c r="J47" s="210">
        <v>-179551.28</v>
      </c>
      <c r="K47" s="209">
        <v>0</v>
      </c>
      <c r="L47" s="209">
        <v>-1567000</v>
      </c>
      <c r="M47" s="209">
        <v>179551.28</v>
      </c>
      <c r="N47" s="242">
        <v>0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-750224</v>
      </c>
      <c r="H48" s="239"/>
      <c r="I48" s="239"/>
      <c r="J48" s="210">
        <v>0</v>
      </c>
      <c r="K48" s="209">
        <v>0</v>
      </c>
      <c r="L48" s="209">
        <v>-750224</v>
      </c>
      <c r="M48" s="209">
        <v>0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-654354</v>
      </c>
      <c r="H49" s="239"/>
      <c r="I49" s="239"/>
      <c r="J49" s="210">
        <v>0</v>
      </c>
      <c r="K49" s="209">
        <v>0</v>
      </c>
      <c r="L49" s="209">
        <v>-654354</v>
      </c>
      <c r="M49" s="209">
        <v>0</v>
      </c>
      <c r="N49" s="242">
        <v>0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-654354</v>
      </c>
      <c r="H51" s="239"/>
      <c r="I51" s="239"/>
      <c r="J51" s="210">
        <v>0</v>
      </c>
      <c r="K51" s="209">
        <v>0</v>
      </c>
      <c r="L51" s="209">
        <v>-654354</v>
      </c>
      <c r="M51" s="209">
        <v>0</v>
      </c>
      <c r="N51" s="242">
        <v>0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-654354</v>
      </c>
      <c r="H52" s="239"/>
      <c r="I52" s="239"/>
      <c r="J52" s="210">
        <v>0</v>
      </c>
      <c r="K52" s="209">
        <v>0</v>
      </c>
      <c r="L52" s="209">
        <v>-654354</v>
      </c>
      <c r="M52" s="209">
        <v>0</v>
      </c>
      <c r="N52" s="242">
        <v>0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-654354</v>
      </c>
      <c r="H53" s="239"/>
      <c r="I53" s="239"/>
      <c r="J53" s="210">
        <v>0</v>
      </c>
      <c r="K53" s="209">
        <v>0</v>
      </c>
      <c r="L53" s="209">
        <v>-654354</v>
      </c>
      <c r="M53" s="209">
        <v>0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-654354</v>
      </c>
      <c r="H54" s="239"/>
      <c r="I54" s="239"/>
      <c r="J54" s="210">
        <v>0</v>
      </c>
      <c r="K54" s="209">
        <v>0</v>
      </c>
      <c r="L54" s="209">
        <v>-654354</v>
      </c>
      <c r="M54" s="209">
        <v>0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-654354</v>
      </c>
      <c r="H59" s="239"/>
      <c r="I59" s="239"/>
      <c r="J59" s="210">
        <v>0</v>
      </c>
      <c r="K59" s="209">
        <v>0</v>
      </c>
      <c r="L59" s="209">
        <v>-654354</v>
      </c>
      <c r="M59" s="209">
        <v>0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-654354</v>
      </c>
      <c r="H62" s="239"/>
      <c r="I62" s="239"/>
      <c r="J62" s="210">
        <v>0</v>
      </c>
      <c r="K62" s="209">
        <v>0</v>
      </c>
      <c r="L62" s="209">
        <v>-654354</v>
      </c>
      <c r="M62" s="209">
        <v>0</v>
      </c>
      <c r="N62" s="242">
        <v>0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-654354</v>
      </c>
      <c r="H63" s="239"/>
      <c r="I63" s="239"/>
      <c r="J63" s="210">
        <v>0</v>
      </c>
      <c r="K63" s="209">
        <v>0</v>
      </c>
      <c r="L63" s="209">
        <v>-654354</v>
      </c>
      <c r="M63" s="209">
        <v>0</v>
      </c>
      <c r="N63" s="242">
        <v>0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-654354</v>
      </c>
      <c r="H64" s="239"/>
      <c r="I64" s="239"/>
      <c r="J64" s="210">
        <v>0</v>
      </c>
      <c r="K64" s="209">
        <v>0</v>
      </c>
      <c r="L64" s="209">
        <v>-654354</v>
      </c>
      <c r="M64" s="209">
        <v>0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-654354</v>
      </c>
      <c r="H65" s="239"/>
      <c r="I65" s="239"/>
      <c r="J65" s="210">
        <v>0</v>
      </c>
      <c r="K65" s="209">
        <v>0</v>
      </c>
      <c r="L65" s="209">
        <v>-654354</v>
      </c>
      <c r="M65" s="209">
        <v>0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-654354</v>
      </c>
      <c r="H66" s="239"/>
      <c r="I66" s="239"/>
      <c r="J66" s="210">
        <v>0</v>
      </c>
      <c r="K66" s="209">
        <v>0</v>
      </c>
      <c r="L66" s="209">
        <v>-654354</v>
      </c>
      <c r="M66" s="209">
        <v>0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-654353</v>
      </c>
      <c r="H68" s="239"/>
      <c r="I68" s="239"/>
      <c r="J68" s="210">
        <v>0</v>
      </c>
      <c r="K68" s="209">
        <v>0</v>
      </c>
      <c r="L68" s="209">
        <v>-654353</v>
      </c>
      <c r="M68" s="209">
        <v>0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-654353</v>
      </c>
      <c r="H73" s="239"/>
      <c r="I73" s="239"/>
      <c r="J73" s="210">
        <v>0</v>
      </c>
      <c r="K73" s="209">
        <v>0</v>
      </c>
      <c r="L73" s="209">
        <v>-654353</v>
      </c>
      <c r="M73" s="209">
        <v>0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-654353</v>
      </c>
      <c r="H75" s="239"/>
      <c r="I75" s="239"/>
      <c r="J75" s="210">
        <v>0</v>
      </c>
      <c r="K75" s="209">
        <v>0</v>
      </c>
      <c r="L75" s="209">
        <v>-654353</v>
      </c>
      <c r="M75" s="209">
        <v>0</v>
      </c>
      <c r="N75" s="242">
        <v>0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-654353</v>
      </c>
      <c r="H76" s="239"/>
      <c r="I76" s="239"/>
      <c r="J76" s="210">
        <v>0</v>
      </c>
      <c r="K76" s="209">
        <v>0</v>
      </c>
      <c r="L76" s="209">
        <v>-654353</v>
      </c>
      <c r="M76" s="209">
        <v>0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-654353</v>
      </c>
      <c r="H78" s="239"/>
      <c r="I78" s="239"/>
      <c r="J78" s="210">
        <v>0</v>
      </c>
      <c r="K78" s="209">
        <v>0</v>
      </c>
      <c r="L78" s="209">
        <v>-654353</v>
      </c>
      <c r="M78" s="209">
        <v>0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-654353</v>
      </c>
      <c r="H79" s="239"/>
      <c r="I79" s="239"/>
      <c r="J79" s="210">
        <v>0</v>
      </c>
      <c r="K79" s="209">
        <v>0</v>
      </c>
      <c r="L79" s="209">
        <v>-654353</v>
      </c>
      <c r="M79" s="209">
        <v>0</v>
      </c>
      <c r="N79" s="242">
        <v>0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-654353</v>
      </c>
      <c r="H80" s="239"/>
      <c r="I80" s="239"/>
      <c r="J80" s="210">
        <v>0</v>
      </c>
      <c r="K80" s="209">
        <v>0</v>
      </c>
      <c r="L80" s="209">
        <v>-654353</v>
      </c>
      <c r="M80" s="209">
        <v>0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-654353</v>
      </c>
      <c r="H82" s="239"/>
      <c r="I82" s="239"/>
      <c r="J82" s="210">
        <v>0</v>
      </c>
      <c r="K82" s="209">
        <v>0</v>
      </c>
      <c r="L82" s="209">
        <v>-654353</v>
      </c>
      <c r="M82" s="209">
        <v>0</v>
      </c>
      <c r="N82" s="242">
        <v>0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-654353</v>
      </c>
      <c r="H83" s="239"/>
      <c r="I83" s="239"/>
      <c r="J83" s="210">
        <v>0</v>
      </c>
      <c r="K83" s="209">
        <v>0</v>
      </c>
      <c r="L83" s="209">
        <v>-654353</v>
      </c>
      <c r="M83" s="209">
        <v>0</v>
      </c>
      <c r="N83" s="242">
        <v>0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-654353</v>
      </c>
      <c r="H85" s="239"/>
      <c r="I85" s="239"/>
      <c r="J85" s="210">
        <v>0</v>
      </c>
      <c r="K85" s="209">
        <v>0</v>
      </c>
      <c r="L85" s="209">
        <v>-654353</v>
      </c>
      <c r="M85" s="209">
        <v>0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-654353</v>
      </c>
      <c r="H87" s="239"/>
      <c r="I87" s="239"/>
      <c r="J87" s="210">
        <v>0</v>
      </c>
      <c r="K87" s="209">
        <v>0</v>
      </c>
      <c r="L87" s="209">
        <v>-654353</v>
      </c>
      <c r="M87" s="209">
        <v>0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-654353</v>
      </c>
      <c r="H91" s="239"/>
      <c r="I91" s="239"/>
      <c r="J91" s="210">
        <v>0</v>
      </c>
      <c r="K91" s="209">
        <v>0</v>
      </c>
      <c r="L91" s="209">
        <v>-654353</v>
      </c>
      <c r="M91" s="209">
        <v>0</v>
      </c>
      <c r="N91" s="242">
        <v>0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-654353</v>
      </c>
      <c r="H92" s="239"/>
      <c r="I92" s="239"/>
      <c r="J92" s="210">
        <v>0</v>
      </c>
      <c r="K92" s="209">
        <v>0</v>
      </c>
      <c r="L92" s="209">
        <v>-654353</v>
      </c>
      <c r="M92" s="209">
        <v>0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-654353</v>
      </c>
      <c r="H96" s="239"/>
      <c r="I96" s="239"/>
      <c r="J96" s="210">
        <v>0</v>
      </c>
      <c r="K96" s="209">
        <v>0</v>
      </c>
      <c r="L96" s="209">
        <v>-654353</v>
      </c>
      <c r="M96" s="209">
        <v>0</v>
      </c>
      <c r="N96" s="242">
        <v>0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-654353</v>
      </c>
      <c r="H97" s="239"/>
      <c r="I97" s="239"/>
      <c r="J97" s="210">
        <v>0</v>
      </c>
      <c r="K97" s="209">
        <v>0</v>
      </c>
      <c r="L97" s="209">
        <v>-654353</v>
      </c>
      <c r="M97" s="209">
        <v>0</v>
      </c>
      <c r="N97" s="242">
        <v>0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-654353</v>
      </c>
      <c r="H99" s="239"/>
      <c r="I99" s="239"/>
      <c r="J99" s="210">
        <v>0</v>
      </c>
      <c r="K99" s="209">
        <v>0</v>
      </c>
      <c r="L99" s="209">
        <v>-654353</v>
      </c>
      <c r="M99" s="209">
        <v>0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-654353</v>
      </c>
      <c r="H102" s="239"/>
      <c r="I102" s="239"/>
      <c r="J102" s="210">
        <v>0</v>
      </c>
      <c r="K102" s="209">
        <v>0</v>
      </c>
      <c r="L102" s="209">
        <v>-654353</v>
      </c>
      <c r="M102" s="209">
        <v>0</v>
      </c>
      <c r="N102" s="242">
        <v>0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-654353</v>
      </c>
      <c r="H103" s="239"/>
      <c r="I103" s="239"/>
      <c r="J103" s="210">
        <v>0</v>
      </c>
      <c r="K103" s="209">
        <v>0</v>
      </c>
      <c r="L103" s="209">
        <v>-654353</v>
      </c>
      <c r="M103" s="209">
        <v>0</v>
      </c>
      <c r="N103" s="242">
        <v>0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-1100000</v>
      </c>
      <c r="H285" s="239"/>
      <c r="I285" s="239"/>
      <c r="J285" s="210">
        <v>0</v>
      </c>
      <c r="K285" s="209">
        <v>0</v>
      </c>
      <c r="L285" s="209">
        <v>-1100000</v>
      </c>
      <c r="M285" s="209">
        <v>0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-1100000</v>
      </c>
      <c r="H286" s="239"/>
      <c r="I286" s="239"/>
      <c r="J286" s="210">
        <v>0</v>
      </c>
      <c r="K286" s="209">
        <v>0</v>
      </c>
      <c r="L286" s="209">
        <v>-1100000</v>
      </c>
      <c r="M286" s="209">
        <v>0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-108446571.61</v>
      </c>
      <c r="H290" s="244"/>
      <c r="I290" s="244"/>
      <c r="J290" s="208">
        <v>-573414.72</v>
      </c>
      <c r="K290" s="207">
        <v>0</v>
      </c>
      <c r="L290" s="207">
        <v>-109019986.33</v>
      </c>
      <c r="M290" s="207">
        <v>672151.14</v>
      </c>
      <c r="N290" s="245">
        <v>98736.42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-211086.72</v>
      </c>
      <c r="H294" s="239"/>
      <c r="I294" s="239"/>
      <c r="J294" s="210">
        <v>-19190</v>
      </c>
      <c r="K294" s="209">
        <v>0</v>
      </c>
      <c r="L294" s="209">
        <v>-230276.72</v>
      </c>
      <c r="M294" s="209">
        <v>172714.28</v>
      </c>
      <c r="N294" s="242">
        <v>153524.28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-3487962.94</v>
      </c>
      <c r="H295" s="239"/>
      <c r="I295" s="239"/>
      <c r="J295" s="210">
        <v>-317163</v>
      </c>
      <c r="K295" s="209">
        <v>0</v>
      </c>
      <c r="L295" s="209">
        <v>-3805125.94</v>
      </c>
      <c r="M295" s="209">
        <v>2854469.06</v>
      </c>
      <c r="N295" s="242">
        <v>2537306.06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-1995433.58</v>
      </c>
      <c r="H296" s="239"/>
      <c r="I296" s="239"/>
      <c r="J296" s="210">
        <v>-181452</v>
      </c>
      <c r="K296" s="209">
        <v>0</v>
      </c>
      <c r="L296" s="209">
        <v>-2176885.58</v>
      </c>
      <c r="M296" s="209">
        <v>725809.42</v>
      </c>
      <c r="N296" s="242">
        <v>544357.42000000004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-3166694.55</v>
      </c>
      <c r="H297" s="239"/>
      <c r="I297" s="239"/>
      <c r="J297" s="210">
        <v>-287886</v>
      </c>
      <c r="K297" s="209">
        <v>0</v>
      </c>
      <c r="L297" s="209">
        <v>-3454580.55</v>
      </c>
      <c r="M297" s="209">
        <v>1151544.25</v>
      </c>
      <c r="N297" s="242">
        <v>863658.25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-2279089.89</v>
      </c>
      <c r="H298" s="239"/>
      <c r="I298" s="239"/>
      <c r="J298" s="210">
        <v>-207201</v>
      </c>
      <c r="K298" s="209">
        <v>0</v>
      </c>
      <c r="L298" s="209">
        <v>-2486290.89</v>
      </c>
      <c r="M298" s="209">
        <v>1864808.71</v>
      </c>
      <c r="N298" s="242">
        <v>1657607.71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-462971.52</v>
      </c>
      <c r="H299" s="239"/>
      <c r="I299" s="239"/>
      <c r="J299" s="210">
        <v>-42282</v>
      </c>
      <c r="K299" s="209">
        <v>0</v>
      </c>
      <c r="L299" s="209">
        <v>-505253.52</v>
      </c>
      <c r="M299" s="209">
        <v>169128.08</v>
      </c>
      <c r="N299" s="242">
        <v>126846.08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-325370.46000000002</v>
      </c>
      <c r="H300" s="239"/>
      <c r="I300" s="239"/>
      <c r="J300" s="210">
        <v>-32538</v>
      </c>
      <c r="K300" s="209">
        <v>0</v>
      </c>
      <c r="L300" s="209">
        <v>-357908.46</v>
      </c>
      <c r="M300" s="209">
        <v>325379.53999999998</v>
      </c>
      <c r="N300" s="242">
        <v>292841.53999999998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-57445.26</v>
      </c>
      <c r="H301" s="239"/>
      <c r="I301" s="239"/>
      <c r="J301" s="210">
        <v>-5981</v>
      </c>
      <c r="K301" s="209">
        <v>0</v>
      </c>
      <c r="L301" s="209">
        <v>-63426.26</v>
      </c>
      <c r="M301" s="209">
        <v>61804.74</v>
      </c>
      <c r="N301" s="242">
        <v>55823.74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-1477570.14</v>
      </c>
      <c r="H302" s="239"/>
      <c r="I302" s="239"/>
      <c r="J302" s="210">
        <v>-164175</v>
      </c>
      <c r="K302" s="209">
        <v>0</v>
      </c>
      <c r="L302" s="209">
        <v>-1641745.14</v>
      </c>
      <c r="M302" s="209">
        <v>1805932.86</v>
      </c>
      <c r="N302" s="242">
        <v>1641757.86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-35468</v>
      </c>
      <c r="H304" s="239"/>
      <c r="I304" s="239"/>
      <c r="J304" s="210">
        <v>-6546</v>
      </c>
      <c r="K304" s="209">
        <v>0</v>
      </c>
      <c r="L304" s="209">
        <v>-42014</v>
      </c>
      <c r="M304" s="209">
        <v>62732</v>
      </c>
      <c r="N304" s="242">
        <v>56186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-885784.93</v>
      </c>
      <c r="H305" s="239"/>
      <c r="I305" s="239"/>
      <c r="J305" s="210">
        <v>-73817</v>
      </c>
      <c r="K305" s="209">
        <v>0</v>
      </c>
      <c r="L305" s="209">
        <v>-959601.93</v>
      </c>
      <c r="M305" s="209">
        <v>221452.07</v>
      </c>
      <c r="N305" s="242">
        <v>147635.07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-14575594.890000001</v>
      </c>
      <c r="H306" s="244"/>
      <c r="I306" s="244"/>
      <c r="J306" s="208">
        <v>-1338231</v>
      </c>
      <c r="K306" s="207">
        <v>0</v>
      </c>
      <c r="L306" s="207">
        <v>-15913825.890000001</v>
      </c>
      <c r="M306" s="207">
        <v>9415775.0099999998</v>
      </c>
      <c r="N306" s="245">
        <v>8077544.0099999998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-221461.3</v>
      </c>
      <c r="H311" s="239"/>
      <c r="I311" s="239"/>
      <c r="J311" s="210">
        <v>-25312</v>
      </c>
      <c r="K311" s="209">
        <v>0</v>
      </c>
      <c r="L311" s="209">
        <v>-246773.3</v>
      </c>
      <c r="M311" s="209">
        <v>31639.7</v>
      </c>
      <c r="N311" s="242">
        <v>6327.7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-185315</v>
      </c>
      <c r="H314" s="239"/>
      <c r="I314" s="239"/>
      <c r="J314" s="210">
        <v>-60102</v>
      </c>
      <c r="K314" s="209">
        <v>0</v>
      </c>
      <c r="L314" s="209">
        <v>-245417</v>
      </c>
      <c r="M314" s="209">
        <v>115195.5</v>
      </c>
      <c r="N314" s="242">
        <v>55093.5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-561868</v>
      </c>
      <c r="H315" s="239"/>
      <c r="I315" s="239"/>
      <c r="J315" s="210">
        <v>-182227</v>
      </c>
      <c r="K315" s="209">
        <v>0</v>
      </c>
      <c r="L315" s="209">
        <v>-744095</v>
      </c>
      <c r="M315" s="209">
        <v>349268.8</v>
      </c>
      <c r="N315" s="242">
        <v>167041.79999999999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-13522454.199999999</v>
      </c>
      <c r="H316" s="244"/>
      <c r="I316" s="244"/>
      <c r="J316" s="208">
        <v>-267641</v>
      </c>
      <c r="K316" s="207">
        <v>0</v>
      </c>
      <c r="L316" s="207">
        <v>-13790095.199999999</v>
      </c>
      <c r="M316" s="207">
        <v>496104.45</v>
      </c>
      <c r="N316" s="245">
        <v>228463.45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-313654</v>
      </c>
      <c r="H334" s="239"/>
      <c r="I334" s="239"/>
      <c r="J334" s="210">
        <v>0</v>
      </c>
      <c r="K334" s="209">
        <v>0</v>
      </c>
      <c r="L334" s="209">
        <v>-313654</v>
      </c>
      <c r="M334" s="209">
        <v>0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-1244337</v>
      </c>
      <c r="H335" s="239"/>
      <c r="I335" s="239"/>
      <c r="J335" s="210">
        <v>0</v>
      </c>
      <c r="K335" s="209">
        <v>0</v>
      </c>
      <c r="L335" s="209">
        <v>-1244337</v>
      </c>
      <c r="M335" s="209">
        <v>0</v>
      </c>
      <c r="N335" s="242">
        <v>0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-783620.24</v>
      </c>
      <c r="H341" s="239"/>
      <c r="I341" s="239"/>
      <c r="J341" s="210">
        <v>-70425</v>
      </c>
      <c r="K341" s="209">
        <v>0</v>
      </c>
      <c r="L341" s="209">
        <v>-854045.24</v>
      </c>
      <c r="M341" s="209">
        <v>275829.76000000001</v>
      </c>
      <c r="N341" s="242">
        <v>205404.76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-146757.04</v>
      </c>
      <c r="H342" s="239"/>
      <c r="I342" s="239"/>
      <c r="J342" s="210">
        <v>-13245</v>
      </c>
      <c r="K342" s="209">
        <v>0</v>
      </c>
      <c r="L342" s="209">
        <v>-160002.04</v>
      </c>
      <c r="M342" s="209">
        <v>118105.96</v>
      </c>
      <c r="N342" s="242">
        <v>104860.96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-949602</v>
      </c>
      <c r="H353" s="239"/>
      <c r="I353" s="239"/>
      <c r="J353" s="210">
        <v>0</v>
      </c>
      <c r="K353" s="209">
        <v>0</v>
      </c>
      <c r="L353" s="209">
        <v>-949602</v>
      </c>
      <c r="M353" s="209">
        <v>0</v>
      </c>
      <c r="N353" s="242">
        <v>0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-258276.13</v>
      </c>
      <c r="H354" s="239"/>
      <c r="I354" s="239"/>
      <c r="J354" s="210">
        <v>-21044</v>
      </c>
      <c r="K354" s="209">
        <v>0</v>
      </c>
      <c r="L354" s="209">
        <v>-279320.13</v>
      </c>
      <c r="M354" s="209">
        <v>168356.87</v>
      </c>
      <c r="N354" s="242">
        <v>147312.87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-80000</v>
      </c>
      <c r="H357" s="239"/>
      <c r="I357" s="239"/>
      <c r="J357" s="210">
        <v>0</v>
      </c>
      <c r="K357" s="209">
        <v>0</v>
      </c>
      <c r="L357" s="209">
        <v>-80000</v>
      </c>
      <c r="M357" s="209">
        <v>0</v>
      </c>
      <c r="N357" s="242">
        <v>0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-77000</v>
      </c>
      <c r="H358" s="239"/>
      <c r="I358" s="239"/>
      <c r="J358" s="210">
        <v>0</v>
      </c>
      <c r="K358" s="209">
        <v>0</v>
      </c>
      <c r="L358" s="209">
        <v>-77000</v>
      </c>
      <c r="M358" s="209">
        <v>0</v>
      </c>
      <c r="N358" s="242">
        <v>0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-36712</v>
      </c>
      <c r="H359" s="239"/>
      <c r="I359" s="239"/>
      <c r="J359" s="210">
        <v>0</v>
      </c>
      <c r="K359" s="209">
        <v>0</v>
      </c>
      <c r="L359" s="209">
        <v>-36712</v>
      </c>
      <c r="M359" s="209">
        <v>0</v>
      </c>
      <c r="N359" s="242">
        <v>0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-24000</v>
      </c>
      <c r="H362" s="239"/>
      <c r="I362" s="239"/>
      <c r="J362" s="210">
        <v>0</v>
      </c>
      <c r="K362" s="209">
        <v>0</v>
      </c>
      <c r="L362" s="209">
        <v>-24000</v>
      </c>
      <c r="M362" s="209">
        <v>0</v>
      </c>
      <c r="N362" s="242">
        <v>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-2564134.5</v>
      </c>
      <c r="H365" s="239"/>
      <c r="I365" s="239"/>
      <c r="J365" s="210">
        <v>-248142</v>
      </c>
      <c r="K365" s="209">
        <v>0</v>
      </c>
      <c r="L365" s="209">
        <v>-2812276.5</v>
      </c>
      <c r="M365" s="209">
        <v>1157995.5</v>
      </c>
      <c r="N365" s="242">
        <v>909853.5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-1345472.81</v>
      </c>
      <c r="H366" s="239"/>
      <c r="I366" s="239"/>
      <c r="J366" s="210">
        <v>-130206</v>
      </c>
      <c r="K366" s="209">
        <v>0</v>
      </c>
      <c r="L366" s="209">
        <v>-1475678.81</v>
      </c>
      <c r="M366" s="209">
        <v>607628.18999999994</v>
      </c>
      <c r="N366" s="242">
        <v>477422.19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-618608.15</v>
      </c>
      <c r="H367" s="239"/>
      <c r="I367" s="239"/>
      <c r="J367" s="210">
        <v>-59864</v>
      </c>
      <c r="K367" s="209">
        <v>0</v>
      </c>
      <c r="L367" s="209">
        <v>-678472.15</v>
      </c>
      <c r="M367" s="209">
        <v>279363.84999999998</v>
      </c>
      <c r="N367" s="242">
        <v>219499.85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-649230.39</v>
      </c>
      <c r="H368" s="239"/>
      <c r="I368" s="239"/>
      <c r="J368" s="210">
        <v>-62827</v>
      </c>
      <c r="K368" s="209">
        <v>0</v>
      </c>
      <c r="L368" s="209">
        <v>-712057.39</v>
      </c>
      <c r="M368" s="209">
        <v>293191.61</v>
      </c>
      <c r="N368" s="242">
        <v>230364.61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-337012.55</v>
      </c>
      <c r="H369" s="239"/>
      <c r="I369" s="239"/>
      <c r="J369" s="210">
        <v>-32613</v>
      </c>
      <c r="K369" s="209">
        <v>0</v>
      </c>
      <c r="L369" s="209">
        <v>-369625.55</v>
      </c>
      <c r="M369" s="209">
        <v>152193.45000000001</v>
      </c>
      <c r="N369" s="242">
        <v>119580.45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-708376.2</v>
      </c>
      <c r="H370" s="239"/>
      <c r="I370" s="239"/>
      <c r="J370" s="210">
        <v>-68551</v>
      </c>
      <c r="K370" s="209">
        <v>0</v>
      </c>
      <c r="L370" s="209">
        <v>-776927.2</v>
      </c>
      <c r="M370" s="209">
        <v>662657.80000000005</v>
      </c>
      <c r="N370" s="242">
        <v>594106.80000000005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-1756953.35</v>
      </c>
      <c r="H371" s="239"/>
      <c r="I371" s="239"/>
      <c r="J371" s="210">
        <v>-170027</v>
      </c>
      <c r="K371" s="209">
        <v>0</v>
      </c>
      <c r="L371" s="209">
        <v>-1926980.35</v>
      </c>
      <c r="M371" s="209">
        <v>793461.65</v>
      </c>
      <c r="N371" s="242">
        <v>623434.65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-458659.65</v>
      </c>
      <c r="H372" s="239"/>
      <c r="I372" s="239"/>
      <c r="J372" s="210">
        <v>-44386</v>
      </c>
      <c r="K372" s="209">
        <v>0</v>
      </c>
      <c r="L372" s="209">
        <v>-503045.65</v>
      </c>
      <c r="M372" s="209">
        <v>872920.35</v>
      </c>
      <c r="N372" s="242">
        <v>828534.35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-558891.65</v>
      </c>
      <c r="H373" s="239"/>
      <c r="I373" s="239"/>
      <c r="J373" s="210">
        <v>-54088</v>
      </c>
      <c r="K373" s="209">
        <v>0</v>
      </c>
      <c r="L373" s="209">
        <v>-612979.65</v>
      </c>
      <c r="M373" s="209">
        <v>252409.35</v>
      </c>
      <c r="N373" s="242">
        <v>198321.35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-79700</v>
      </c>
      <c r="H375" s="239"/>
      <c r="I375" s="239"/>
      <c r="J375" s="210">
        <v>0</v>
      </c>
      <c r="K375" s="209">
        <v>0</v>
      </c>
      <c r="L375" s="209">
        <v>-79700</v>
      </c>
      <c r="M375" s="209">
        <v>0</v>
      </c>
      <c r="N375" s="242">
        <v>0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-90830</v>
      </c>
      <c r="H377" s="239"/>
      <c r="I377" s="239"/>
      <c r="J377" s="210">
        <v>0</v>
      </c>
      <c r="K377" s="209">
        <v>0</v>
      </c>
      <c r="L377" s="209">
        <v>-90830</v>
      </c>
      <c r="M377" s="209">
        <v>0</v>
      </c>
      <c r="N377" s="242">
        <v>0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-91450</v>
      </c>
      <c r="H383" s="239"/>
      <c r="I383" s="239"/>
      <c r="J383" s="210">
        <v>0</v>
      </c>
      <c r="K383" s="209">
        <v>0</v>
      </c>
      <c r="L383" s="209">
        <v>-91450</v>
      </c>
      <c r="M383" s="209">
        <v>0</v>
      </c>
      <c r="N383" s="242">
        <v>0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-194385.55</v>
      </c>
      <c r="H384" s="239"/>
      <c r="I384" s="239"/>
      <c r="J384" s="210">
        <v>0</v>
      </c>
      <c r="K384" s="209">
        <v>0</v>
      </c>
      <c r="L384" s="209">
        <v>-194385.55</v>
      </c>
      <c r="M384" s="209">
        <v>0</v>
      </c>
      <c r="N384" s="242">
        <v>0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-125000</v>
      </c>
      <c r="H385" s="239"/>
      <c r="I385" s="239"/>
      <c r="J385" s="210">
        <v>0</v>
      </c>
      <c r="K385" s="209">
        <v>0</v>
      </c>
      <c r="L385" s="209">
        <v>-125000</v>
      </c>
      <c r="M385" s="209">
        <v>0</v>
      </c>
      <c r="N385" s="242">
        <v>0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-303679.23</v>
      </c>
      <c r="H387" s="239"/>
      <c r="I387" s="239"/>
      <c r="J387" s="210">
        <v>0</v>
      </c>
      <c r="K387" s="209">
        <v>0</v>
      </c>
      <c r="L387" s="209">
        <v>-303679.23</v>
      </c>
      <c r="M387" s="209">
        <v>0</v>
      </c>
      <c r="N387" s="242">
        <v>0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-1005104.63</v>
      </c>
      <c r="H388" s="239"/>
      <c r="I388" s="239"/>
      <c r="J388" s="210">
        <v>-0.37</v>
      </c>
      <c r="K388" s="209">
        <v>0</v>
      </c>
      <c r="L388" s="209">
        <v>-1005105</v>
      </c>
      <c r="M388" s="209">
        <v>0.37</v>
      </c>
      <c r="N388" s="242">
        <v>0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-50575</v>
      </c>
      <c r="H389" s="239"/>
      <c r="I389" s="239"/>
      <c r="J389" s="210">
        <v>-425</v>
      </c>
      <c r="K389" s="209">
        <v>0</v>
      </c>
      <c r="L389" s="209">
        <v>-51000</v>
      </c>
      <c r="M389" s="209">
        <v>425</v>
      </c>
      <c r="N389" s="242">
        <v>0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-62042.45</v>
      </c>
      <c r="H390" s="239"/>
      <c r="I390" s="239"/>
      <c r="J390" s="210">
        <v>-521.54999999999995</v>
      </c>
      <c r="K390" s="209">
        <v>0</v>
      </c>
      <c r="L390" s="209">
        <v>-62564</v>
      </c>
      <c r="M390" s="209">
        <v>521.54999999999995</v>
      </c>
      <c r="N390" s="242">
        <v>0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-257365.72</v>
      </c>
      <c r="H391" s="239"/>
      <c r="I391" s="239"/>
      <c r="J391" s="210">
        <v>-25875</v>
      </c>
      <c r="K391" s="209">
        <v>0</v>
      </c>
      <c r="L391" s="209">
        <v>-283240.71999999997</v>
      </c>
      <c r="M391" s="209">
        <v>129373.28</v>
      </c>
      <c r="N391" s="242">
        <v>103498.28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-181439.56</v>
      </c>
      <c r="H392" s="239"/>
      <c r="I392" s="239"/>
      <c r="J392" s="210">
        <v>-18143</v>
      </c>
      <c r="K392" s="209">
        <v>0</v>
      </c>
      <c r="L392" s="209">
        <v>-199582.56</v>
      </c>
      <c r="M392" s="209">
        <v>362859.3</v>
      </c>
      <c r="N392" s="242">
        <v>344716.3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-456845.89</v>
      </c>
      <c r="H393" s="239"/>
      <c r="I393" s="239"/>
      <c r="J393" s="210">
        <v>-45663</v>
      </c>
      <c r="K393" s="209">
        <v>0</v>
      </c>
      <c r="L393" s="209">
        <v>-502508.89</v>
      </c>
      <c r="M393" s="209">
        <v>228318.45</v>
      </c>
      <c r="N393" s="242">
        <v>182655.45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-682159.89</v>
      </c>
      <c r="H394" s="239"/>
      <c r="I394" s="239"/>
      <c r="J394" s="210">
        <v>-68286</v>
      </c>
      <c r="K394" s="209">
        <v>0</v>
      </c>
      <c r="L394" s="209">
        <v>-750445.89</v>
      </c>
      <c r="M394" s="209">
        <v>341430.41</v>
      </c>
      <c r="N394" s="242">
        <v>273144.40999999997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-1237695.76</v>
      </c>
      <c r="H395" s="239"/>
      <c r="I395" s="239"/>
      <c r="J395" s="210">
        <v>-123870</v>
      </c>
      <c r="K395" s="209">
        <v>0</v>
      </c>
      <c r="L395" s="209">
        <v>-1361565.76</v>
      </c>
      <c r="M395" s="209">
        <v>619346.57999999996</v>
      </c>
      <c r="N395" s="242">
        <v>495476.58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-435520.44</v>
      </c>
      <c r="H396" s="239"/>
      <c r="I396" s="239"/>
      <c r="J396" s="210">
        <v>-43554</v>
      </c>
      <c r="K396" s="209">
        <v>0</v>
      </c>
      <c r="L396" s="209">
        <v>-479074.44</v>
      </c>
      <c r="M396" s="209">
        <v>871078.56</v>
      </c>
      <c r="N396" s="242">
        <v>827524.56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-124898</v>
      </c>
      <c r="H400" s="239"/>
      <c r="I400" s="239"/>
      <c r="J400" s="210">
        <v>-3202</v>
      </c>
      <c r="K400" s="209">
        <v>0</v>
      </c>
      <c r="L400" s="209">
        <v>-128100</v>
      </c>
      <c r="M400" s="209">
        <v>3202</v>
      </c>
      <c r="N400" s="242">
        <v>0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-58500</v>
      </c>
      <c r="H402" s="239"/>
      <c r="I402" s="239"/>
      <c r="J402" s="210">
        <v>-1500</v>
      </c>
      <c r="K402" s="209">
        <v>0</v>
      </c>
      <c r="L402" s="209">
        <v>-60000</v>
      </c>
      <c r="M402" s="209">
        <v>1500</v>
      </c>
      <c r="N402" s="242">
        <v>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-45069.95</v>
      </c>
      <c r="H403" s="239"/>
      <c r="I403" s="239"/>
      <c r="J403" s="210">
        <v>-1554.05</v>
      </c>
      <c r="K403" s="209">
        <v>0</v>
      </c>
      <c r="L403" s="209">
        <v>-46624</v>
      </c>
      <c r="M403" s="209">
        <v>1554.05</v>
      </c>
      <c r="N403" s="242">
        <v>0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-277301.37</v>
      </c>
      <c r="H406" s="239"/>
      <c r="I406" s="239"/>
      <c r="J406" s="210">
        <v>-28937</v>
      </c>
      <c r="K406" s="209">
        <v>0</v>
      </c>
      <c r="L406" s="209">
        <v>-306238.37</v>
      </c>
      <c r="M406" s="209">
        <v>301433.63</v>
      </c>
      <c r="N406" s="242">
        <v>272496.63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-483162.86</v>
      </c>
      <c r="H407" s="239"/>
      <c r="I407" s="239"/>
      <c r="J407" s="210">
        <v>-50861</v>
      </c>
      <c r="K407" s="209">
        <v>0</v>
      </c>
      <c r="L407" s="209">
        <v>-534023.86</v>
      </c>
      <c r="M407" s="209">
        <v>279737.14</v>
      </c>
      <c r="N407" s="242">
        <v>228876.14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-40490.54</v>
      </c>
      <c r="H415" s="239"/>
      <c r="I415" s="239"/>
      <c r="J415" s="210">
        <v>-2509.46</v>
      </c>
      <c r="K415" s="209">
        <v>0</v>
      </c>
      <c r="L415" s="209">
        <v>-43000</v>
      </c>
      <c r="M415" s="209">
        <v>2509.46</v>
      </c>
      <c r="N415" s="242">
        <v>0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-87425.97</v>
      </c>
      <c r="H417" s="239"/>
      <c r="I417" s="239"/>
      <c r="J417" s="210">
        <v>-9366</v>
      </c>
      <c r="K417" s="209">
        <v>0</v>
      </c>
      <c r="L417" s="209">
        <v>-96791.97</v>
      </c>
      <c r="M417" s="209">
        <v>53074.03</v>
      </c>
      <c r="N417" s="242">
        <v>43708.03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-376632.11</v>
      </c>
      <c r="H418" s="239"/>
      <c r="I418" s="239"/>
      <c r="J418" s="210">
        <v>-26900.38</v>
      </c>
      <c r="K418" s="209">
        <v>0</v>
      </c>
      <c r="L418" s="209">
        <v>-403532.49</v>
      </c>
      <c r="M418" s="209">
        <v>26900.38</v>
      </c>
      <c r="N418" s="242">
        <v>0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-93608.99</v>
      </c>
      <c r="H420" s="239"/>
      <c r="I420" s="239"/>
      <c r="J420" s="210">
        <v>-10031</v>
      </c>
      <c r="K420" s="209">
        <v>0</v>
      </c>
      <c r="L420" s="209">
        <v>-103639.99</v>
      </c>
      <c r="M420" s="209">
        <v>106999.01</v>
      </c>
      <c r="N420" s="242">
        <v>96968.01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-229164.54</v>
      </c>
      <c r="H423" s="239"/>
      <c r="I423" s="239"/>
      <c r="J423" s="210">
        <v>-20835.46</v>
      </c>
      <c r="K423" s="209">
        <v>0</v>
      </c>
      <c r="L423" s="209">
        <v>-250000</v>
      </c>
      <c r="M423" s="209">
        <v>20835.46</v>
      </c>
      <c r="N423" s="242">
        <v>0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-187914.54</v>
      </c>
      <c r="H424" s="239"/>
      <c r="I424" s="239"/>
      <c r="J424" s="210">
        <v>-17085.46</v>
      </c>
      <c r="K424" s="209">
        <v>0</v>
      </c>
      <c r="L424" s="209">
        <v>-205000</v>
      </c>
      <c r="M424" s="209">
        <v>17085.46</v>
      </c>
      <c r="N424" s="242">
        <v>0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-51769.42</v>
      </c>
      <c r="H426" s="239"/>
      <c r="I426" s="239"/>
      <c r="J426" s="210">
        <v>-4705.08</v>
      </c>
      <c r="K426" s="209">
        <v>0</v>
      </c>
      <c r="L426" s="209">
        <v>-56474.5</v>
      </c>
      <c r="M426" s="209">
        <v>4705.08</v>
      </c>
      <c r="N426" s="242">
        <v>0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-111481.3</v>
      </c>
      <c r="H427" s="239"/>
      <c r="I427" s="239"/>
      <c r="J427" s="210">
        <v>-12271</v>
      </c>
      <c r="K427" s="209">
        <v>0</v>
      </c>
      <c r="L427" s="209">
        <v>-123752.3</v>
      </c>
      <c r="M427" s="209">
        <v>72605.7</v>
      </c>
      <c r="N427" s="242">
        <v>60334.7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-74560.600000000006</v>
      </c>
      <c r="H428" s="239"/>
      <c r="I428" s="239"/>
      <c r="J428" s="210">
        <v>-7524.4</v>
      </c>
      <c r="K428" s="209">
        <v>0</v>
      </c>
      <c r="L428" s="209">
        <v>-82085</v>
      </c>
      <c r="M428" s="209">
        <v>7524.4</v>
      </c>
      <c r="N428" s="242">
        <v>0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-27702.79</v>
      </c>
      <c r="H429" s="239"/>
      <c r="I429" s="239"/>
      <c r="J429" s="210">
        <v>-2797.21</v>
      </c>
      <c r="K429" s="209">
        <v>0</v>
      </c>
      <c r="L429" s="209">
        <v>-30500</v>
      </c>
      <c r="M429" s="209">
        <v>2797.21</v>
      </c>
      <c r="N429" s="242">
        <v>0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-99918.8</v>
      </c>
      <c r="H430" s="239"/>
      <c r="I430" s="239"/>
      <c r="J430" s="210">
        <v>-10081.200000000001</v>
      </c>
      <c r="K430" s="209">
        <v>0</v>
      </c>
      <c r="L430" s="209">
        <v>-110000</v>
      </c>
      <c r="M430" s="209">
        <v>10081.200000000001</v>
      </c>
      <c r="N430" s="242">
        <v>0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-42238</v>
      </c>
      <c r="H431" s="239"/>
      <c r="I431" s="239"/>
      <c r="J431" s="210">
        <v>-4262</v>
      </c>
      <c r="K431" s="209">
        <v>0</v>
      </c>
      <c r="L431" s="209">
        <v>-46500</v>
      </c>
      <c r="M431" s="209">
        <v>4262</v>
      </c>
      <c r="N431" s="242">
        <v>0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-135439.93</v>
      </c>
      <c r="H432" s="239"/>
      <c r="I432" s="239"/>
      <c r="J432" s="210">
        <v>-15049</v>
      </c>
      <c r="K432" s="209">
        <v>0</v>
      </c>
      <c r="L432" s="209">
        <v>-150488.93</v>
      </c>
      <c r="M432" s="209">
        <v>15049.07</v>
      </c>
      <c r="N432" s="242">
        <v>7.0000000000000007E-2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-434707.51</v>
      </c>
      <c r="H433" s="239"/>
      <c r="I433" s="239"/>
      <c r="J433" s="210">
        <v>-48302</v>
      </c>
      <c r="K433" s="209">
        <v>0</v>
      </c>
      <c r="L433" s="209">
        <v>-483009.51</v>
      </c>
      <c r="M433" s="209">
        <v>289808.49</v>
      </c>
      <c r="N433" s="242">
        <v>241506.49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-180049.15</v>
      </c>
      <c r="H435" s="239"/>
      <c r="I435" s="239"/>
      <c r="J435" s="210">
        <v>-20007</v>
      </c>
      <c r="K435" s="209">
        <v>0</v>
      </c>
      <c r="L435" s="209">
        <v>-200056.15</v>
      </c>
      <c r="M435" s="209">
        <v>120038.85</v>
      </c>
      <c r="N435" s="242">
        <v>100031.85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-39896.26</v>
      </c>
      <c r="H436" s="239"/>
      <c r="I436" s="239"/>
      <c r="J436" s="210">
        <v>-4434</v>
      </c>
      <c r="K436" s="209">
        <v>0</v>
      </c>
      <c r="L436" s="209">
        <v>-44330.26</v>
      </c>
      <c r="M436" s="209">
        <v>26603.74</v>
      </c>
      <c r="N436" s="242">
        <v>22169.74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-39896.26</v>
      </c>
      <c r="H437" s="239"/>
      <c r="I437" s="239"/>
      <c r="J437" s="210">
        <v>-4434</v>
      </c>
      <c r="K437" s="209">
        <v>0</v>
      </c>
      <c r="L437" s="209">
        <v>-44330.26</v>
      </c>
      <c r="M437" s="209">
        <v>26603.74</v>
      </c>
      <c r="N437" s="242">
        <v>22169.74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-39896.26</v>
      </c>
      <c r="H438" s="239"/>
      <c r="I438" s="239"/>
      <c r="J438" s="210">
        <v>-4434</v>
      </c>
      <c r="K438" s="209">
        <v>0</v>
      </c>
      <c r="L438" s="209">
        <v>-44330.26</v>
      </c>
      <c r="M438" s="209">
        <v>26603.74</v>
      </c>
      <c r="N438" s="242">
        <v>22169.74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-39896.26</v>
      </c>
      <c r="H439" s="239"/>
      <c r="I439" s="239"/>
      <c r="J439" s="210">
        <v>-4434</v>
      </c>
      <c r="K439" s="209">
        <v>0</v>
      </c>
      <c r="L439" s="209">
        <v>-44330.26</v>
      </c>
      <c r="M439" s="209">
        <v>26603.74</v>
      </c>
      <c r="N439" s="242">
        <v>22169.74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-39896.26</v>
      </c>
      <c r="H440" s="239"/>
      <c r="I440" s="239"/>
      <c r="J440" s="210">
        <v>-4434</v>
      </c>
      <c r="K440" s="209">
        <v>0</v>
      </c>
      <c r="L440" s="209">
        <v>-44330.26</v>
      </c>
      <c r="M440" s="209">
        <v>26603.74</v>
      </c>
      <c r="N440" s="242">
        <v>22169.74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-39896.26</v>
      </c>
      <c r="H441" s="239"/>
      <c r="I441" s="239"/>
      <c r="J441" s="210">
        <v>-4434</v>
      </c>
      <c r="K441" s="209">
        <v>0</v>
      </c>
      <c r="L441" s="209">
        <v>-44330.26</v>
      </c>
      <c r="M441" s="209">
        <v>26603.74</v>
      </c>
      <c r="N441" s="242">
        <v>22169.74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-39896.26</v>
      </c>
      <c r="H442" s="239"/>
      <c r="I442" s="239"/>
      <c r="J442" s="210">
        <v>-4434</v>
      </c>
      <c r="K442" s="209">
        <v>0</v>
      </c>
      <c r="L442" s="209">
        <v>-44330.26</v>
      </c>
      <c r="M442" s="209">
        <v>26603.74</v>
      </c>
      <c r="N442" s="242">
        <v>22169.74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-39896.26</v>
      </c>
      <c r="H443" s="239"/>
      <c r="I443" s="239"/>
      <c r="J443" s="210">
        <v>-4434</v>
      </c>
      <c r="K443" s="209">
        <v>0</v>
      </c>
      <c r="L443" s="209">
        <v>-44330.26</v>
      </c>
      <c r="M443" s="209">
        <v>26603.74</v>
      </c>
      <c r="N443" s="242">
        <v>22169.74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-189150.55</v>
      </c>
      <c r="H444" s="239"/>
      <c r="I444" s="239"/>
      <c r="J444" s="210">
        <v>-21018</v>
      </c>
      <c r="K444" s="209">
        <v>0</v>
      </c>
      <c r="L444" s="209">
        <v>-210168.55</v>
      </c>
      <c r="M444" s="209">
        <v>231198.45</v>
      </c>
      <c r="N444" s="242">
        <v>210180.45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-61202.13</v>
      </c>
      <c r="H447" s="239"/>
      <c r="I447" s="239"/>
      <c r="J447" s="210">
        <v>-6797.87</v>
      </c>
      <c r="K447" s="209">
        <v>0</v>
      </c>
      <c r="L447" s="209">
        <v>-68000</v>
      </c>
      <c r="M447" s="209">
        <v>6797.87</v>
      </c>
      <c r="N447" s="242">
        <v>0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-156129.46</v>
      </c>
      <c r="H450" s="239"/>
      <c r="I450" s="239"/>
      <c r="J450" s="210">
        <v>-17511</v>
      </c>
      <c r="K450" s="209">
        <v>0</v>
      </c>
      <c r="L450" s="209">
        <v>-173640.46</v>
      </c>
      <c r="M450" s="209">
        <v>18970.54</v>
      </c>
      <c r="N450" s="242">
        <v>1459.54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-62164.6</v>
      </c>
      <c r="H465" s="239"/>
      <c r="I465" s="239"/>
      <c r="J465" s="210">
        <v>-7535</v>
      </c>
      <c r="K465" s="209">
        <v>0</v>
      </c>
      <c r="L465" s="209">
        <v>-69699.600000000006</v>
      </c>
      <c r="M465" s="209">
        <v>13185.4</v>
      </c>
      <c r="N465" s="242">
        <v>5650.4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-62164.6</v>
      </c>
      <c r="H466" s="239"/>
      <c r="I466" s="239"/>
      <c r="J466" s="210">
        <v>-7535</v>
      </c>
      <c r="K466" s="209">
        <v>0</v>
      </c>
      <c r="L466" s="209">
        <v>-69699.600000000006</v>
      </c>
      <c r="M466" s="209">
        <v>13185.4</v>
      </c>
      <c r="N466" s="242">
        <v>5650.4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-62164.6</v>
      </c>
      <c r="H467" s="239"/>
      <c r="I467" s="239"/>
      <c r="J467" s="210">
        <v>-7535</v>
      </c>
      <c r="K467" s="209">
        <v>0</v>
      </c>
      <c r="L467" s="209">
        <v>-69699.600000000006</v>
      </c>
      <c r="M467" s="209">
        <v>13185.4</v>
      </c>
      <c r="N467" s="242">
        <v>5650.4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-62164.6</v>
      </c>
      <c r="H468" s="239"/>
      <c r="I468" s="239"/>
      <c r="J468" s="210">
        <v>-7535</v>
      </c>
      <c r="K468" s="209">
        <v>0</v>
      </c>
      <c r="L468" s="209">
        <v>-69699.600000000006</v>
      </c>
      <c r="M468" s="209">
        <v>13185.4</v>
      </c>
      <c r="N468" s="242">
        <v>5650.4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-63016.75</v>
      </c>
      <c r="H469" s="239"/>
      <c r="I469" s="239"/>
      <c r="J469" s="210">
        <v>-7638</v>
      </c>
      <c r="K469" s="209">
        <v>0</v>
      </c>
      <c r="L469" s="209">
        <v>-70654.75</v>
      </c>
      <c r="M469" s="209">
        <v>13366.25</v>
      </c>
      <c r="N469" s="242">
        <v>5728.25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-63016.75</v>
      </c>
      <c r="H470" s="239"/>
      <c r="I470" s="239"/>
      <c r="J470" s="210">
        <v>-7638</v>
      </c>
      <c r="K470" s="209">
        <v>0</v>
      </c>
      <c r="L470" s="209">
        <v>-70654.75</v>
      </c>
      <c r="M470" s="209">
        <v>13366.25</v>
      </c>
      <c r="N470" s="242">
        <v>5728.25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-63016.75</v>
      </c>
      <c r="H471" s="239"/>
      <c r="I471" s="239"/>
      <c r="J471" s="210">
        <v>-7638</v>
      </c>
      <c r="K471" s="209">
        <v>0</v>
      </c>
      <c r="L471" s="209">
        <v>-70654.75</v>
      </c>
      <c r="M471" s="209">
        <v>13366.25</v>
      </c>
      <c r="N471" s="242">
        <v>5728.25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-27649.75</v>
      </c>
      <c r="H473" s="239"/>
      <c r="I473" s="239"/>
      <c r="J473" s="210">
        <v>-3354</v>
      </c>
      <c r="K473" s="209">
        <v>0</v>
      </c>
      <c r="L473" s="209">
        <v>-31003.75</v>
      </c>
      <c r="M473" s="209">
        <v>5869.25</v>
      </c>
      <c r="N473" s="242">
        <v>2515.25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-109363.29</v>
      </c>
      <c r="H483" s="239"/>
      <c r="I483" s="239"/>
      <c r="J483" s="210">
        <v>-13672</v>
      </c>
      <c r="K483" s="209">
        <v>0</v>
      </c>
      <c r="L483" s="209">
        <v>-123035.29</v>
      </c>
      <c r="M483" s="209">
        <v>95704.71</v>
      </c>
      <c r="N483" s="242">
        <v>82032.710000000006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-42262.29</v>
      </c>
      <c r="H484" s="239"/>
      <c r="I484" s="239"/>
      <c r="J484" s="210">
        <v>-5285</v>
      </c>
      <c r="K484" s="209">
        <v>0</v>
      </c>
      <c r="L484" s="209">
        <v>-47547.29</v>
      </c>
      <c r="M484" s="209">
        <v>10569.71</v>
      </c>
      <c r="N484" s="242">
        <v>5284.71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-33370.089999999997</v>
      </c>
      <c r="H485" s="239"/>
      <c r="I485" s="239"/>
      <c r="J485" s="210">
        <v>-4170</v>
      </c>
      <c r="K485" s="209">
        <v>0</v>
      </c>
      <c r="L485" s="209">
        <v>-37540.089999999997</v>
      </c>
      <c r="M485" s="209">
        <v>29189.91</v>
      </c>
      <c r="N485" s="242">
        <v>25019.91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-33370.089999999997</v>
      </c>
      <c r="H486" s="239"/>
      <c r="I486" s="239"/>
      <c r="J486" s="210">
        <v>-4170</v>
      </c>
      <c r="K486" s="209">
        <v>0</v>
      </c>
      <c r="L486" s="209">
        <v>-37540.089999999997</v>
      </c>
      <c r="M486" s="209">
        <v>29189.91</v>
      </c>
      <c r="N486" s="242">
        <v>25019.91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-33370.089999999997</v>
      </c>
      <c r="H487" s="239"/>
      <c r="I487" s="239"/>
      <c r="J487" s="210">
        <v>-4170</v>
      </c>
      <c r="K487" s="209">
        <v>0</v>
      </c>
      <c r="L487" s="209">
        <v>-37540.089999999997</v>
      </c>
      <c r="M487" s="209">
        <v>29189.91</v>
      </c>
      <c r="N487" s="242">
        <v>25019.91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-33370.089999999997</v>
      </c>
      <c r="H488" s="239"/>
      <c r="I488" s="239"/>
      <c r="J488" s="210">
        <v>-4170</v>
      </c>
      <c r="K488" s="209">
        <v>0</v>
      </c>
      <c r="L488" s="209">
        <v>-37540.089999999997</v>
      </c>
      <c r="M488" s="209">
        <v>29189.91</v>
      </c>
      <c r="N488" s="242">
        <v>25019.91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-33370.089999999997</v>
      </c>
      <c r="H489" s="239"/>
      <c r="I489" s="239"/>
      <c r="J489" s="210">
        <v>-4170</v>
      </c>
      <c r="K489" s="209">
        <v>0</v>
      </c>
      <c r="L489" s="209">
        <v>-37540.089999999997</v>
      </c>
      <c r="M489" s="209">
        <v>29189.91</v>
      </c>
      <c r="N489" s="242">
        <v>25019.91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-33370.089999999997</v>
      </c>
      <c r="H490" s="239"/>
      <c r="I490" s="239"/>
      <c r="J490" s="210">
        <v>-4170</v>
      </c>
      <c r="K490" s="209">
        <v>0</v>
      </c>
      <c r="L490" s="209">
        <v>-37540.089999999997</v>
      </c>
      <c r="M490" s="209">
        <v>29189.91</v>
      </c>
      <c r="N490" s="242">
        <v>25019.91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-33370.089999999997</v>
      </c>
      <c r="H491" s="239"/>
      <c r="I491" s="239"/>
      <c r="J491" s="210">
        <v>-4170</v>
      </c>
      <c r="K491" s="209">
        <v>0</v>
      </c>
      <c r="L491" s="209">
        <v>-37540.089999999997</v>
      </c>
      <c r="M491" s="209">
        <v>29189.91</v>
      </c>
      <c r="N491" s="242">
        <v>25019.91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-33370.089999999997</v>
      </c>
      <c r="H492" s="239"/>
      <c r="I492" s="239"/>
      <c r="J492" s="210">
        <v>-4170</v>
      </c>
      <c r="K492" s="209">
        <v>0</v>
      </c>
      <c r="L492" s="209">
        <v>-37540.089999999997</v>
      </c>
      <c r="M492" s="209">
        <v>29189.91</v>
      </c>
      <c r="N492" s="242">
        <v>25019.91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-33370.089999999997</v>
      </c>
      <c r="H493" s="239"/>
      <c r="I493" s="239"/>
      <c r="J493" s="210">
        <v>-4170</v>
      </c>
      <c r="K493" s="209">
        <v>0</v>
      </c>
      <c r="L493" s="209">
        <v>-37540.089999999997</v>
      </c>
      <c r="M493" s="209">
        <v>29189.91</v>
      </c>
      <c r="N493" s="242">
        <v>25019.91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-33370.089999999997</v>
      </c>
      <c r="H494" s="239"/>
      <c r="I494" s="239"/>
      <c r="J494" s="210">
        <v>-4170</v>
      </c>
      <c r="K494" s="209">
        <v>0</v>
      </c>
      <c r="L494" s="209">
        <v>-37540.089999999997</v>
      </c>
      <c r="M494" s="209">
        <v>29189.91</v>
      </c>
      <c r="N494" s="242">
        <v>25019.91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-33370.089999999997</v>
      </c>
      <c r="H495" s="239"/>
      <c r="I495" s="239"/>
      <c r="J495" s="210">
        <v>-4170</v>
      </c>
      <c r="K495" s="209">
        <v>0</v>
      </c>
      <c r="L495" s="209">
        <v>-37540.089999999997</v>
      </c>
      <c r="M495" s="209">
        <v>29189.91</v>
      </c>
      <c r="N495" s="242">
        <v>25019.91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-33370.089999999997</v>
      </c>
      <c r="H496" s="239"/>
      <c r="I496" s="239"/>
      <c r="J496" s="210">
        <v>-4170</v>
      </c>
      <c r="K496" s="209">
        <v>0</v>
      </c>
      <c r="L496" s="209">
        <v>-37540.089999999997</v>
      </c>
      <c r="M496" s="209">
        <v>29189.91</v>
      </c>
      <c r="N496" s="242">
        <v>25019.91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-33370.089999999997</v>
      </c>
      <c r="H497" s="239"/>
      <c r="I497" s="239"/>
      <c r="J497" s="210">
        <v>-4170</v>
      </c>
      <c r="K497" s="209">
        <v>0</v>
      </c>
      <c r="L497" s="209">
        <v>-37540.089999999997</v>
      </c>
      <c r="M497" s="209">
        <v>29189.91</v>
      </c>
      <c r="N497" s="242">
        <v>25019.91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-33370.089999999997</v>
      </c>
      <c r="H498" s="239"/>
      <c r="I498" s="239"/>
      <c r="J498" s="210">
        <v>-4170</v>
      </c>
      <c r="K498" s="209">
        <v>0</v>
      </c>
      <c r="L498" s="209">
        <v>-37540.089999999997</v>
      </c>
      <c r="M498" s="209">
        <v>29189.91</v>
      </c>
      <c r="N498" s="242">
        <v>25019.91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-134780</v>
      </c>
      <c r="H500" s="239"/>
      <c r="I500" s="239"/>
      <c r="J500" s="210">
        <v>-17580</v>
      </c>
      <c r="K500" s="209">
        <v>0</v>
      </c>
      <c r="L500" s="209">
        <v>-152360</v>
      </c>
      <c r="M500" s="209">
        <v>41020</v>
      </c>
      <c r="N500" s="242">
        <v>23440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-296258.96000000002</v>
      </c>
      <c r="H502" s="239"/>
      <c r="I502" s="239"/>
      <c r="J502" s="210">
        <v>-39090</v>
      </c>
      <c r="K502" s="209">
        <v>0</v>
      </c>
      <c r="L502" s="209">
        <v>-335348.96000000002</v>
      </c>
      <c r="M502" s="209">
        <v>289917.84999999998</v>
      </c>
      <c r="N502" s="242">
        <v>250827.85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-187239.45</v>
      </c>
      <c r="H503" s="239"/>
      <c r="I503" s="239"/>
      <c r="J503" s="210">
        <v>-18119</v>
      </c>
      <c r="K503" s="209">
        <v>0</v>
      </c>
      <c r="L503" s="209">
        <v>-205358.45</v>
      </c>
      <c r="M503" s="209">
        <v>84558.77</v>
      </c>
      <c r="N503" s="242">
        <v>66439.77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-64349.8</v>
      </c>
      <c r="H504" s="239"/>
      <c r="I504" s="239"/>
      <c r="J504" s="210">
        <v>-8677</v>
      </c>
      <c r="K504" s="209">
        <v>0</v>
      </c>
      <c r="L504" s="209">
        <v>-73026.8</v>
      </c>
      <c r="M504" s="209">
        <v>22415.05</v>
      </c>
      <c r="N504" s="242">
        <v>13738.05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-733328.28</v>
      </c>
      <c r="H505" s="239"/>
      <c r="I505" s="239"/>
      <c r="J505" s="210">
        <v>-100002</v>
      </c>
      <c r="K505" s="209">
        <v>0</v>
      </c>
      <c r="L505" s="209">
        <v>-833330.28</v>
      </c>
      <c r="M505" s="209">
        <v>266671.71999999997</v>
      </c>
      <c r="N505" s="242">
        <v>166669.72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-190253.43</v>
      </c>
      <c r="H507" s="239"/>
      <c r="I507" s="239"/>
      <c r="J507" s="210">
        <v>-25944</v>
      </c>
      <c r="K507" s="209">
        <v>0</v>
      </c>
      <c r="L507" s="209">
        <v>-216197.43</v>
      </c>
      <c r="M507" s="209">
        <v>69182.570000000007</v>
      </c>
      <c r="N507" s="242">
        <v>43238.57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-167677.54999999999</v>
      </c>
      <c r="H509" s="239"/>
      <c r="I509" s="239"/>
      <c r="J509" s="210">
        <v>-22866</v>
      </c>
      <c r="K509" s="209">
        <v>0</v>
      </c>
      <c r="L509" s="209">
        <v>-190543.55</v>
      </c>
      <c r="M509" s="209">
        <v>60976.45</v>
      </c>
      <c r="N509" s="242">
        <v>38110.449999999997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-190671.72</v>
      </c>
      <c r="H510" s="239"/>
      <c r="I510" s="239"/>
      <c r="J510" s="210">
        <v>-25998</v>
      </c>
      <c r="K510" s="209">
        <v>0</v>
      </c>
      <c r="L510" s="209">
        <v>-216669.72</v>
      </c>
      <c r="M510" s="209">
        <v>69328.28</v>
      </c>
      <c r="N510" s="242">
        <v>43330.28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-101962.86</v>
      </c>
      <c r="H513" s="239"/>
      <c r="I513" s="239"/>
      <c r="J513" s="210">
        <v>-14226</v>
      </c>
      <c r="K513" s="209">
        <v>0</v>
      </c>
      <c r="L513" s="209">
        <v>-116188.86</v>
      </c>
      <c r="M513" s="209">
        <v>40306.79</v>
      </c>
      <c r="N513" s="242">
        <v>26080.79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-16343.39</v>
      </c>
      <c r="H514" s="239"/>
      <c r="I514" s="239"/>
      <c r="J514" s="210">
        <v>-2286</v>
      </c>
      <c r="K514" s="209">
        <v>0</v>
      </c>
      <c r="L514" s="209">
        <v>-18629.39</v>
      </c>
      <c r="M514" s="209">
        <v>6477.36</v>
      </c>
      <c r="N514" s="242">
        <v>4191.3599999999997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-20073.38</v>
      </c>
      <c r="H515" s="239"/>
      <c r="I515" s="239"/>
      <c r="J515" s="210">
        <v>-2808</v>
      </c>
      <c r="K515" s="209">
        <v>0</v>
      </c>
      <c r="L515" s="209">
        <v>-22881.38</v>
      </c>
      <c r="M515" s="209">
        <v>7957.28</v>
      </c>
      <c r="N515" s="242">
        <v>5149.28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-32675.65</v>
      </c>
      <c r="H516" s="239"/>
      <c r="I516" s="239"/>
      <c r="J516" s="210">
        <v>-4576</v>
      </c>
      <c r="K516" s="209">
        <v>0</v>
      </c>
      <c r="L516" s="209">
        <v>-37251.65</v>
      </c>
      <c r="M516" s="209">
        <v>12965.71</v>
      </c>
      <c r="N516" s="242">
        <v>8389.7099999999991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-31767.48</v>
      </c>
      <c r="H517" s="239"/>
      <c r="I517" s="239"/>
      <c r="J517" s="210">
        <v>-4434</v>
      </c>
      <c r="K517" s="209">
        <v>0</v>
      </c>
      <c r="L517" s="209">
        <v>-36201.480000000003</v>
      </c>
      <c r="M517" s="209">
        <v>34732.519999999997</v>
      </c>
      <c r="N517" s="242">
        <v>30298.52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-31767.48</v>
      </c>
      <c r="H518" s="239"/>
      <c r="I518" s="239"/>
      <c r="J518" s="210">
        <v>-4434</v>
      </c>
      <c r="K518" s="209">
        <v>0</v>
      </c>
      <c r="L518" s="209">
        <v>-36201.480000000003</v>
      </c>
      <c r="M518" s="209">
        <v>34732.519999999997</v>
      </c>
      <c r="N518" s="242">
        <v>30298.52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-31767.48</v>
      </c>
      <c r="H519" s="239"/>
      <c r="I519" s="239"/>
      <c r="J519" s="210">
        <v>-4434</v>
      </c>
      <c r="K519" s="209">
        <v>0</v>
      </c>
      <c r="L519" s="209">
        <v>-36201.480000000003</v>
      </c>
      <c r="M519" s="209">
        <v>34732.519999999997</v>
      </c>
      <c r="N519" s="242">
        <v>30298.52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-31767.48</v>
      </c>
      <c r="H520" s="239"/>
      <c r="I520" s="239"/>
      <c r="J520" s="210">
        <v>-4434</v>
      </c>
      <c r="K520" s="209">
        <v>0</v>
      </c>
      <c r="L520" s="209">
        <v>-36201.480000000003</v>
      </c>
      <c r="M520" s="209">
        <v>34732.519999999997</v>
      </c>
      <c r="N520" s="242">
        <v>30298.52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-31767.48</v>
      </c>
      <c r="H521" s="239"/>
      <c r="I521" s="239"/>
      <c r="J521" s="210">
        <v>-4434</v>
      </c>
      <c r="K521" s="209">
        <v>0</v>
      </c>
      <c r="L521" s="209">
        <v>-36201.480000000003</v>
      </c>
      <c r="M521" s="209">
        <v>34732.519999999997</v>
      </c>
      <c r="N521" s="242">
        <v>30298.52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-151942.39000000001</v>
      </c>
      <c r="H522" s="239"/>
      <c r="I522" s="239"/>
      <c r="J522" s="210">
        <v>-21199</v>
      </c>
      <c r="K522" s="209">
        <v>0</v>
      </c>
      <c r="L522" s="209">
        <v>-173141.39</v>
      </c>
      <c r="M522" s="209">
        <v>272057.61</v>
      </c>
      <c r="N522" s="242">
        <v>250858.61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-32352.959999999999</v>
      </c>
      <c r="H523" s="239"/>
      <c r="I523" s="239"/>
      <c r="J523" s="210">
        <v>-4566</v>
      </c>
      <c r="K523" s="209">
        <v>0</v>
      </c>
      <c r="L523" s="209">
        <v>-36918.959999999999</v>
      </c>
      <c r="M523" s="209">
        <v>36147.040000000001</v>
      </c>
      <c r="N523" s="242">
        <v>31581.040000000001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-32352.959999999999</v>
      </c>
      <c r="H524" s="239"/>
      <c r="I524" s="239"/>
      <c r="J524" s="210">
        <v>-4566</v>
      </c>
      <c r="K524" s="209">
        <v>0</v>
      </c>
      <c r="L524" s="209">
        <v>-36918.959999999999</v>
      </c>
      <c r="M524" s="209">
        <v>36147.040000000001</v>
      </c>
      <c r="N524" s="242">
        <v>31581.040000000001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-32352.959999999999</v>
      </c>
      <c r="H525" s="239"/>
      <c r="I525" s="239"/>
      <c r="J525" s="210">
        <v>-4566</v>
      </c>
      <c r="K525" s="209">
        <v>0</v>
      </c>
      <c r="L525" s="209">
        <v>-36918.959999999999</v>
      </c>
      <c r="M525" s="209">
        <v>36147.040000000001</v>
      </c>
      <c r="N525" s="242">
        <v>31581.040000000001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-32352.959999999999</v>
      </c>
      <c r="H526" s="239"/>
      <c r="I526" s="239"/>
      <c r="J526" s="210">
        <v>-4566</v>
      </c>
      <c r="K526" s="209">
        <v>0</v>
      </c>
      <c r="L526" s="209">
        <v>-36918.959999999999</v>
      </c>
      <c r="M526" s="209">
        <v>36147.040000000001</v>
      </c>
      <c r="N526" s="242">
        <v>31581.040000000001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-32352.959999999999</v>
      </c>
      <c r="H527" s="239"/>
      <c r="I527" s="239"/>
      <c r="J527" s="210">
        <v>-4566</v>
      </c>
      <c r="K527" s="209">
        <v>0</v>
      </c>
      <c r="L527" s="209">
        <v>-36918.959999999999</v>
      </c>
      <c r="M527" s="209">
        <v>36147.040000000001</v>
      </c>
      <c r="N527" s="242">
        <v>31581.040000000001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-32352.959999999999</v>
      </c>
      <c r="H528" s="239"/>
      <c r="I528" s="239"/>
      <c r="J528" s="210">
        <v>-4566</v>
      </c>
      <c r="K528" s="209">
        <v>0</v>
      </c>
      <c r="L528" s="209">
        <v>-36918.959999999999</v>
      </c>
      <c r="M528" s="209">
        <v>36147.040000000001</v>
      </c>
      <c r="N528" s="242">
        <v>31581.040000000001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-32352.959999999999</v>
      </c>
      <c r="H529" s="239"/>
      <c r="I529" s="239"/>
      <c r="J529" s="210">
        <v>-4566</v>
      </c>
      <c r="K529" s="209">
        <v>0</v>
      </c>
      <c r="L529" s="209">
        <v>-36918.959999999999</v>
      </c>
      <c r="M529" s="209">
        <v>36147.040000000001</v>
      </c>
      <c r="N529" s="242">
        <v>31581.040000000001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-32352.959999999999</v>
      </c>
      <c r="H530" s="239"/>
      <c r="I530" s="239"/>
      <c r="J530" s="210">
        <v>-4566</v>
      </c>
      <c r="K530" s="209">
        <v>0</v>
      </c>
      <c r="L530" s="209">
        <v>-36918.959999999999</v>
      </c>
      <c r="M530" s="209">
        <v>36147.040000000001</v>
      </c>
      <c r="N530" s="242">
        <v>31581.040000000001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-32352.959999999999</v>
      </c>
      <c r="H531" s="239"/>
      <c r="I531" s="239"/>
      <c r="J531" s="210">
        <v>-4566</v>
      </c>
      <c r="K531" s="209">
        <v>0</v>
      </c>
      <c r="L531" s="209">
        <v>-36918.959999999999</v>
      </c>
      <c r="M531" s="209">
        <v>36147.040000000001</v>
      </c>
      <c r="N531" s="242">
        <v>31581.040000000001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-32352.959999999999</v>
      </c>
      <c r="H532" s="239"/>
      <c r="I532" s="239"/>
      <c r="J532" s="210">
        <v>-4566</v>
      </c>
      <c r="K532" s="209">
        <v>0</v>
      </c>
      <c r="L532" s="209">
        <v>-36918.959999999999</v>
      </c>
      <c r="M532" s="209">
        <v>36147.040000000001</v>
      </c>
      <c r="N532" s="242">
        <v>31581.040000000001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-33200</v>
      </c>
      <c r="H534" s="239"/>
      <c r="I534" s="239"/>
      <c r="J534" s="210">
        <v>0</v>
      </c>
      <c r="K534" s="209">
        <v>0</v>
      </c>
      <c r="L534" s="209">
        <v>-33200</v>
      </c>
      <c r="M534" s="209">
        <v>0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-275975</v>
      </c>
      <c r="H535" s="239"/>
      <c r="I535" s="239"/>
      <c r="J535" s="210">
        <v>-39900</v>
      </c>
      <c r="K535" s="209">
        <v>0</v>
      </c>
      <c r="L535" s="209">
        <v>-315875</v>
      </c>
      <c r="M535" s="209">
        <v>123025</v>
      </c>
      <c r="N535" s="242">
        <v>83125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-25275</v>
      </c>
      <c r="H536" s="239"/>
      <c r="I536" s="239"/>
      <c r="J536" s="210">
        <v>0</v>
      </c>
      <c r="K536" s="209">
        <v>0</v>
      </c>
      <c r="L536" s="209">
        <v>-25275</v>
      </c>
      <c r="M536" s="209">
        <v>0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-78161</v>
      </c>
      <c r="H537" s="239"/>
      <c r="I537" s="239"/>
      <c r="J537" s="210">
        <v>0</v>
      </c>
      <c r="K537" s="209">
        <v>0</v>
      </c>
      <c r="L537" s="209">
        <v>-78161</v>
      </c>
      <c r="M537" s="209">
        <v>0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-78500</v>
      </c>
      <c r="H538" s="239"/>
      <c r="I538" s="239"/>
      <c r="J538" s="210">
        <v>0</v>
      </c>
      <c r="K538" s="209">
        <v>0</v>
      </c>
      <c r="L538" s="209">
        <v>-78500</v>
      </c>
      <c r="M538" s="209">
        <v>0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-103980.99</v>
      </c>
      <c r="H539" s="239"/>
      <c r="I539" s="239"/>
      <c r="J539" s="210">
        <v>-15998</v>
      </c>
      <c r="K539" s="209">
        <v>0</v>
      </c>
      <c r="L539" s="209">
        <v>-119978.99</v>
      </c>
      <c r="M539" s="209">
        <v>55992.21</v>
      </c>
      <c r="N539" s="242">
        <v>39994.21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-29572.53</v>
      </c>
      <c r="H540" s="239"/>
      <c r="I540" s="239"/>
      <c r="J540" s="210">
        <v>-4550</v>
      </c>
      <c r="K540" s="209">
        <v>0</v>
      </c>
      <c r="L540" s="209">
        <v>-34122.53</v>
      </c>
      <c r="M540" s="209">
        <v>15927.47</v>
      </c>
      <c r="N540" s="242">
        <v>11377.47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-48886.03</v>
      </c>
      <c r="H541" s="239"/>
      <c r="I541" s="239"/>
      <c r="J541" s="210">
        <v>-7518</v>
      </c>
      <c r="K541" s="209">
        <v>0</v>
      </c>
      <c r="L541" s="209">
        <v>-56404.03</v>
      </c>
      <c r="M541" s="209">
        <v>26313.97</v>
      </c>
      <c r="N541" s="242">
        <v>18795.97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-71100</v>
      </c>
      <c r="H542" s="239"/>
      <c r="I542" s="239"/>
      <c r="J542" s="210">
        <v>0</v>
      </c>
      <c r="K542" s="209">
        <v>0</v>
      </c>
      <c r="L542" s="209">
        <v>-71100</v>
      </c>
      <c r="M542" s="209">
        <v>0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-35550</v>
      </c>
      <c r="H543" s="239"/>
      <c r="I543" s="239"/>
      <c r="J543" s="210">
        <v>0</v>
      </c>
      <c r="K543" s="209">
        <v>0</v>
      </c>
      <c r="L543" s="209">
        <v>-35550</v>
      </c>
      <c r="M543" s="209">
        <v>0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-35550</v>
      </c>
      <c r="H544" s="239"/>
      <c r="I544" s="239"/>
      <c r="J544" s="210">
        <v>0</v>
      </c>
      <c r="K544" s="209">
        <v>0</v>
      </c>
      <c r="L544" s="209">
        <v>-35550</v>
      </c>
      <c r="M544" s="209">
        <v>0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-41400</v>
      </c>
      <c r="H545" s="239"/>
      <c r="I545" s="239"/>
      <c r="J545" s="210">
        <v>0</v>
      </c>
      <c r="K545" s="209">
        <v>0</v>
      </c>
      <c r="L545" s="209">
        <v>-41400</v>
      </c>
      <c r="M545" s="209">
        <v>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-174447</v>
      </c>
      <c r="H546" s="239"/>
      <c r="I546" s="239"/>
      <c r="J546" s="210">
        <v>0</v>
      </c>
      <c r="K546" s="209">
        <v>0</v>
      </c>
      <c r="L546" s="209">
        <v>-174447</v>
      </c>
      <c r="M546" s="209">
        <v>0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-189600</v>
      </c>
      <c r="H586" s="239"/>
      <c r="I586" s="239"/>
      <c r="J586" s="210">
        <v>0</v>
      </c>
      <c r="K586" s="209">
        <v>0</v>
      </c>
      <c r="L586" s="209">
        <v>-189600</v>
      </c>
      <c r="M586" s="209">
        <v>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-542510.68999999994</v>
      </c>
      <c r="H587" s="239"/>
      <c r="I587" s="239"/>
      <c r="J587" s="210">
        <v>0</v>
      </c>
      <c r="K587" s="209">
        <v>0</v>
      </c>
      <c r="L587" s="209">
        <v>-542510.68999999994</v>
      </c>
      <c r="M587" s="209">
        <v>0</v>
      </c>
      <c r="N587" s="242">
        <v>0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-295224.32000000001</v>
      </c>
      <c r="H588" s="239"/>
      <c r="I588" s="239"/>
      <c r="J588" s="210">
        <v>-49206</v>
      </c>
      <c r="K588" s="209">
        <v>0</v>
      </c>
      <c r="L588" s="209">
        <v>-344430.32</v>
      </c>
      <c r="M588" s="209">
        <v>442854.41</v>
      </c>
      <c r="N588" s="242">
        <v>393648.41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-128215</v>
      </c>
      <c r="H589" s="239"/>
      <c r="I589" s="239"/>
      <c r="J589" s="210">
        <v>0</v>
      </c>
      <c r="K589" s="209">
        <v>0</v>
      </c>
      <c r="L589" s="209">
        <v>-128215</v>
      </c>
      <c r="M589" s="209">
        <v>0</v>
      </c>
      <c r="N589" s="242">
        <v>0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-9071.1200000000008</v>
      </c>
      <c r="H590" s="239"/>
      <c r="I590" s="239"/>
      <c r="J590" s="210">
        <v>0</v>
      </c>
      <c r="K590" s="209">
        <v>0</v>
      </c>
      <c r="L590" s="209">
        <v>-9071.1200000000008</v>
      </c>
      <c r="M590" s="209">
        <v>0</v>
      </c>
      <c r="N590" s="242">
        <v>0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-26512.98</v>
      </c>
      <c r="H591" s="239"/>
      <c r="I591" s="239"/>
      <c r="J591" s="210">
        <v>0</v>
      </c>
      <c r="K591" s="209">
        <v>0</v>
      </c>
      <c r="L591" s="209">
        <v>-26512.98</v>
      </c>
      <c r="M591" s="209">
        <v>0</v>
      </c>
      <c r="N591" s="242">
        <v>0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-65900</v>
      </c>
      <c r="H592" s="239"/>
      <c r="I592" s="239"/>
      <c r="J592" s="210">
        <v>0</v>
      </c>
      <c r="K592" s="209">
        <v>0</v>
      </c>
      <c r="L592" s="209">
        <v>-65900</v>
      </c>
      <c r="M592" s="209">
        <v>0</v>
      </c>
      <c r="N592" s="242">
        <v>0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-39502.5</v>
      </c>
      <c r="H593" s="239"/>
      <c r="I593" s="239"/>
      <c r="J593" s="210">
        <v>0</v>
      </c>
      <c r="K593" s="209">
        <v>0</v>
      </c>
      <c r="L593" s="209">
        <v>-39502.5</v>
      </c>
      <c r="M593" s="209">
        <v>0</v>
      </c>
      <c r="N593" s="242">
        <v>0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-150136</v>
      </c>
      <c r="H594" s="239"/>
      <c r="I594" s="239"/>
      <c r="J594" s="210">
        <v>-27716</v>
      </c>
      <c r="K594" s="209">
        <v>0</v>
      </c>
      <c r="L594" s="209">
        <v>-177852</v>
      </c>
      <c r="M594" s="209">
        <v>127030</v>
      </c>
      <c r="N594" s="242">
        <v>99314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-82545</v>
      </c>
      <c r="H595" s="239"/>
      <c r="I595" s="239"/>
      <c r="J595" s="210">
        <v>0</v>
      </c>
      <c r="K595" s="209">
        <v>0</v>
      </c>
      <c r="L595" s="209">
        <v>-82545</v>
      </c>
      <c r="M595" s="209">
        <v>0</v>
      </c>
      <c r="N595" s="242">
        <v>0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-318175</v>
      </c>
      <c r="H596" s="239"/>
      <c r="I596" s="239"/>
      <c r="J596" s="210">
        <v>-58740</v>
      </c>
      <c r="K596" s="209">
        <v>0</v>
      </c>
      <c r="L596" s="209">
        <v>-376915</v>
      </c>
      <c r="M596" s="209">
        <v>269225</v>
      </c>
      <c r="N596" s="242">
        <v>210485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-205400</v>
      </c>
      <c r="H597" s="239"/>
      <c r="I597" s="239"/>
      <c r="J597" s="210">
        <v>0</v>
      </c>
      <c r="K597" s="209">
        <v>0</v>
      </c>
      <c r="L597" s="209">
        <v>-205400</v>
      </c>
      <c r="M597" s="209">
        <v>0</v>
      </c>
      <c r="N597" s="242">
        <v>0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-57294</v>
      </c>
      <c r="H598" s="239"/>
      <c r="I598" s="239"/>
      <c r="J598" s="210">
        <v>-10744</v>
      </c>
      <c r="K598" s="209">
        <v>0</v>
      </c>
      <c r="L598" s="209">
        <v>-68038</v>
      </c>
      <c r="M598" s="209">
        <v>103863.5</v>
      </c>
      <c r="N598" s="242">
        <v>93119.5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-57294</v>
      </c>
      <c r="H599" s="239"/>
      <c r="I599" s="239"/>
      <c r="J599" s="210">
        <v>-10744</v>
      </c>
      <c r="K599" s="209">
        <v>0</v>
      </c>
      <c r="L599" s="209">
        <v>-68038</v>
      </c>
      <c r="M599" s="209">
        <v>103863.5</v>
      </c>
      <c r="N599" s="242">
        <v>93119.5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-57294</v>
      </c>
      <c r="H600" s="239"/>
      <c r="I600" s="239"/>
      <c r="J600" s="210">
        <v>-10744</v>
      </c>
      <c r="K600" s="209">
        <v>0</v>
      </c>
      <c r="L600" s="209">
        <v>-68038</v>
      </c>
      <c r="M600" s="209">
        <v>103863.5</v>
      </c>
      <c r="N600" s="242">
        <v>93119.5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-57294</v>
      </c>
      <c r="H601" s="239"/>
      <c r="I601" s="239"/>
      <c r="J601" s="210">
        <v>-10744</v>
      </c>
      <c r="K601" s="209">
        <v>0</v>
      </c>
      <c r="L601" s="209">
        <v>-68038</v>
      </c>
      <c r="M601" s="209">
        <v>103863.5</v>
      </c>
      <c r="N601" s="242">
        <v>93119.5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-57294</v>
      </c>
      <c r="H602" s="239"/>
      <c r="I602" s="239"/>
      <c r="J602" s="210">
        <v>-10744</v>
      </c>
      <c r="K602" s="209">
        <v>0</v>
      </c>
      <c r="L602" s="209">
        <v>-68038</v>
      </c>
      <c r="M602" s="209">
        <v>103863.5</v>
      </c>
      <c r="N602" s="242">
        <v>93119.5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-57294</v>
      </c>
      <c r="H603" s="239"/>
      <c r="I603" s="239"/>
      <c r="J603" s="210">
        <v>-10744</v>
      </c>
      <c r="K603" s="209">
        <v>0</v>
      </c>
      <c r="L603" s="209">
        <v>-68038</v>
      </c>
      <c r="M603" s="209">
        <v>103863.5</v>
      </c>
      <c r="N603" s="242">
        <v>93119.5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-57294</v>
      </c>
      <c r="H604" s="239"/>
      <c r="I604" s="239"/>
      <c r="J604" s="210">
        <v>-10744</v>
      </c>
      <c r="K604" s="209">
        <v>0</v>
      </c>
      <c r="L604" s="209">
        <v>-68038</v>
      </c>
      <c r="M604" s="209">
        <v>103863.5</v>
      </c>
      <c r="N604" s="242">
        <v>93119.5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-57294</v>
      </c>
      <c r="H605" s="239"/>
      <c r="I605" s="239"/>
      <c r="J605" s="210">
        <v>-10744</v>
      </c>
      <c r="K605" s="209">
        <v>0</v>
      </c>
      <c r="L605" s="209">
        <v>-68038</v>
      </c>
      <c r="M605" s="209">
        <v>103863.5</v>
      </c>
      <c r="N605" s="242">
        <v>93119.5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-1109208</v>
      </c>
      <c r="H606" s="239"/>
      <c r="I606" s="239"/>
      <c r="J606" s="210">
        <v>-214686</v>
      </c>
      <c r="K606" s="209">
        <v>0</v>
      </c>
      <c r="L606" s="209">
        <v>-1323894</v>
      </c>
      <c r="M606" s="209">
        <v>2111079.21</v>
      </c>
      <c r="N606" s="242">
        <v>1896393.21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-40696</v>
      </c>
      <c r="H607" s="239"/>
      <c r="I607" s="239"/>
      <c r="J607" s="210">
        <v>0</v>
      </c>
      <c r="K607" s="209">
        <v>0</v>
      </c>
      <c r="L607" s="209">
        <v>-40696</v>
      </c>
      <c r="M607" s="209">
        <v>0</v>
      </c>
      <c r="N607" s="242">
        <v>0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-90247</v>
      </c>
      <c r="H608" s="239"/>
      <c r="I608" s="239"/>
      <c r="J608" s="210">
        <v>-17754</v>
      </c>
      <c r="K608" s="209">
        <v>0</v>
      </c>
      <c r="L608" s="209">
        <v>-108001</v>
      </c>
      <c r="M608" s="209">
        <v>87290.63</v>
      </c>
      <c r="N608" s="242">
        <v>69536.63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-96000</v>
      </c>
      <c r="H609" s="239"/>
      <c r="I609" s="239"/>
      <c r="J609" s="210">
        <v>0</v>
      </c>
      <c r="K609" s="209">
        <v>0</v>
      </c>
      <c r="L609" s="209">
        <v>-96000</v>
      </c>
      <c r="M609" s="209">
        <v>0</v>
      </c>
      <c r="N609" s="242">
        <v>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-139583</v>
      </c>
      <c r="H610" s="239"/>
      <c r="I610" s="239"/>
      <c r="J610" s="210">
        <v>-27461</v>
      </c>
      <c r="K610" s="209">
        <v>0</v>
      </c>
      <c r="L610" s="209">
        <v>-167044</v>
      </c>
      <c r="M610" s="209">
        <v>135017</v>
      </c>
      <c r="N610" s="242">
        <v>107556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-545381</v>
      </c>
      <c r="H611" s="239"/>
      <c r="I611" s="239"/>
      <c r="J611" s="210">
        <v>0</v>
      </c>
      <c r="K611" s="209">
        <v>0</v>
      </c>
      <c r="L611" s="209">
        <v>-545381</v>
      </c>
      <c r="M611" s="209">
        <v>0</v>
      </c>
      <c r="N611" s="242">
        <v>0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-163142</v>
      </c>
      <c r="H612" s="239"/>
      <c r="I612" s="239"/>
      <c r="J612" s="210">
        <v>-32094</v>
      </c>
      <c r="K612" s="209">
        <v>0</v>
      </c>
      <c r="L612" s="209">
        <v>-195236</v>
      </c>
      <c r="M612" s="209">
        <v>157795.43</v>
      </c>
      <c r="N612" s="242">
        <v>125701.43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-162495</v>
      </c>
      <c r="H613" s="239"/>
      <c r="I613" s="239"/>
      <c r="J613" s="210">
        <v>-32501</v>
      </c>
      <c r="K613" s="209">
        <v>0</v>
      </c>
      <c r="L613" s="209">
        <v>-194996</v>
      </c>
      <c r="M613" s="209">
        <v>162505</v>
      </c>
      <c r="N613" s="242">
        <v>130004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-155000</v>
      </c>
      <c r="H614" s="239"/>
      <c r="I614" s="239"/>
      <c r="J614" s="210">
        <v>0</v>
      </c>
      <c r="K614" s="209">
        <v>0</v>
      </c>
      <c r="L614" s="209">
        <v>-155000</v>
      </c>
      <c r="M614" s="209">
        <v>0</v>
      </c>
      <c r="N614" s="242">
        <v>0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-76330</v>
      </c>
      <c r="H615" s="239"/>
      <c r="I615" s="239"/>
      <c r="J615" s="210">
        <v>-0.42</v>
      </c>
      <c r="K615" s="209">
        <v>0</v>
      </c>
      <c r="L615" s="209">
        <v>-76330.42</v>
      </c>
      <c r="M615" s="209">
        <v>0.42</v>
      </c>
      <c r="N615" s="242">
        <v>0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-92500</v>
      </c>
      <c r="H616" s="239"/>
      <c r="I616" s="239"/>
      <c r="J616" s="210">
        <v>0</v>
      </c>
      <c r="K616" s="209">
        <v>0</v>
      </c>
      <c r="L616" s="209">
        <v>-92500</v>
      </c>
      <c r="M616" s="209">
        <v>0</v>
      </c>
      <c r="N616" s="242">
        <v>0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-57432</v>
      </c>
      <c r="H617" s="239"/>
      <c r="I617" s="239"/>
      <c r="J617" s="210">
        <v>-11488</v>
      </c>
      <c r="K617" s="209">
        <v>0</v>
      </c>
      <c r="L617" s="209">
        <v>-68920</v>
      </c>
      <c r="M617" s="209">
        <v>114879.5</v>
      </c>
      <c r="N617" s="242">
        <v>103391.5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-297429</v>
      </c>
      <c r="H618" s="239"/>
      <c r="I618" s="239"/>
      <c r="J618" s="210">
        <v>-59487</v>
      </c>
      <c r="K618" s="209">
        <v>0</v>
      </c>
      <c r="L618" s="209">
        <v>-356916</v>
      </c>
      <c r="M618" s="209">
        <v>297435</v>
      </c>
      <c r="N618" s="242">
        <v>237948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-52453</v>
      </c>
      <c r="H619" s="239"/>
      <c r="I619" s="239"/>
      <c r="J619" s="210">
        <v>-10493</v>
      </c>
      <c r="K619" s="209">
        <v>0</v>
      </c>
      <c r="L619" s="209">
        <v>-62946</v>
      </c>
      <c r="M619" s="209">
        <v>52462</v>
      </c>
      <c r="N619" s="242">
        <v>41969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-50453</v>
      </c>
      <c r="H620" s="239"/>
      <c r="I620" s="239"/>
      <c r="J620" s="210">
        <v>-10089</v>
      </c>
      <c r="K620" s="209">
        <v>0</v>
      </c>
      <c r="L620" s="209">
        <v>-60542</v>
      </c>
      <c r="M620" s="209">
        <v>50448</v>
      </c>
      <c r="N620" s="242">
        <v>40359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-175200</v>
      </c>
      <c r="H621" s="239"/>
      <c r="I621" s="239"/>
      <c r="J621" s="210">
        <v>-35040</v>
      </c>
      <c r="K621" s="209">
        <v>0</v>
      </c>
      <c r="L621" s="209">
        <v>-210240</v>
      </c>
      <c r="M621" s="209">
        <v>350400</v>
      </c>
      <c r="N621" s="242">
        <v>315360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-1356335</v>
      </c>
      <c r="H622" s="239"/>
      <c r="I622" s="239"/>
      <c r="J622" s="210">
        <v>-271266</v>
      </c>
      <c r="K622" s="209">
        <v>0</v>
      </c>
      <c r="L622" s="209">
        <v>-1627601</v>
      </c>
      <c r="M622" s="209">
        <v>1356330.38</v>
      </c>
      <c r="N622" s="242">
        <v>1085064.3799999999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-96737</v>
      </c>
      <c r="H623" s="239"/>
      <c r="I623" s="239"/>
      <c r="J623" s="210">
        <v>-20367</v>
      </c>
      <c r="K623" s="209">
        <v>0</v>
      </c>
      <c r="L623" s="209">
        <v>-117104</v>
      </c>
      <c r="M623" s="209">
        <v>106924.55</v>
      </c>
      <c r="N623" s="242">
        <v>86557.55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-316305</v>
      </c>
      <c r="H624" s="239"/>
      <c r="I624" s="239"/>
      <c r="J624" s="210">
        <v>-66591</v>
      </c>
      <c r="K624" s="209">
        <v>0</v>
      </c>
      <c r="L624" s="209">
        <v>-382896</v>
      </c>
      <c r="M624" s="209">
        <v>682565.5</v>
      </c>
      <c r="N624" s="242">
        <v>615974.5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-85017</v>
      </c>
      <c r="H625" s="239"/>
      <c r="I625" s="239"/>
      <c r="J625" s="210">
        <v>-6073</v>
      </c>
      <c r="K625" s="209">
        <v>0</v>
      </c>
      <c r="L625" s="209">
        <v>-91090</v>
      </c>
      <c r="M625" s="209">
        <v>6073</v>
      </c>
      <c r="N625" s="242">
        <v>0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-294000</v>
      </c>
      <c r="H626" s="239"/>
      <c r="I626" s="239"/>
      <c r="J626" s="210">
        <v>-21000</v>
      </c>
      <c r="K626" s="209">
        <v>0</v>
      </c>
      <c r="L626" s="209">
        <v>-315000</v>
      </c>
      <c r="M626" s="209">
        <v>21000</v>
      </c>
      <c r="N626" s="242">
        <v>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-185461</v>
      </c>
      <c r="H627" s="239"/>
      <c r="I627" s="239"/>
      <c r="J627" s="210">
        <v>-44511</v>
      </c>
      <c r="K627" s="209">
        <v>0</v>
      </c>
      <c r="L627" s="209">
        <v>-229972</v>
      </c>
      <c r="M627" s="209">
        <v>482207</v>
      </c>
      <c r="N627" s="242">
        <v>437696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-225401</v>
      </c>
      <c r="H628" s="239"/>
      <c r="I628" s="239"/>
      <c r="J628" s="210">
        <v>-54096</v>
      </c>
      <c r="K628" s="209">
        <v>0</v>
      </c>
      <c r="L628" s="209">
        <v>-279497</v>
      </c>
      <c r="M628" s="209">
        <v>586041.69999999995</v>
      </c>
      <c r="N628" s="242">
        <v>531945.69999999995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-34069</v>
      </c>
      <c r="H629" s="239"/>
      <c r="I629" s="239"/>
      <c r="J629" s="210">
        <v>-6815</v>
      </c>
      <c r="K629" s="209">
        <v>0</v>
      </c>
      <c r="L629" s="209">
        <v>-40884</v>
      </c>
      <c r="M629" s="209">
        <v>6815</v>
      </c>
      <c r="N629" s="242">
        <v>0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-27342</v>
      </c>
      <c r="H630" s="239"/>
      <c r="I630" s="239"/>
      <c r="J630" s="210">
        <v>-6138</v>
      </c>
      <c r="K630" s="209">
        <v>0</v>
      </c>
      <c r="L630" s="209">
        <v>-33480</v>
      </c>
      <c r="M630" s="209">
        <v>6138</v>
      </c>
      <c r="N630" s="242">
        <v>0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-47896</v>
      </c>
      <c r="H631" s="239"/>
      <c r="I631" s="239"/>
      <c r="J631" s="210">
        <v>-10752.75</v>
      </c>
      <c r="K631" s="209">
        <v>0</v>
      </c>
      <c r="L631" s="209">
        <v>-58648.75</v>
      </c>
      <c r="M631" s="209">
        <v>10752.75</v>
      </c>
      <c r="N631" s="242">
        <v>0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-90603</v>
      </c>
      <c r="H632" s="239"/>
      <c r="I632" s="239"/>
      <c r="J632" s="210">
        <v>-22189</v>
      </c>
      <c r="K632" s="209">
        <v>0</v>
      </c>
      <c r="L632" s="209">
        <v>-112792</v>
      </c>
      <c r="M632" s="209">
        <v>242226.6</v>
      </c>
      <c r="N632" s="242">
        <v>220037.6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-572304</v>
      </c>
      <c r="H633" s="239"/>
      <c r="I633" s="239"/>
      <c r="J633" s="210">
        <v>-140155</v>
      </c>
      <c r="K633" s="209">
        <v>0</v>
      </c>
      <c r="L633" s="209">
        <v>-712459</v>
      </c>
      <c r="M633" s="209">
        <v>1530023</v>
      </c>
      <c r="N633" s="242">
        <v>1389868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-222393</v>
      </c>
      <c r="H634" s="239"/>
      <c r="I634" s="239"/>
      <c r="J634" s="210">
        <v>-54462</v>
      </c>
      <c r="K634" s="209">
        <v>0</v>
      </c>
      <c r="L634" s="209">
        <v>-276855</v>
      </c>
      <c r="M634" s="209">
        <v>594544</v>
      </c>
      <c r="N634" s="242">
        <v>540082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-138725</v>
      </c>
      <c r="H635" s="239"/>
      <c r="I635" s="239"/>
      <c r="J635" s="210">
        <v>-33974</v>
      </c>
      <c r="K635" s="209">
        <v>0</v>
      </c>
      <c r="L635" s="209">
        <v>-172699</v>
      </c>
      <c r="M635" s="209">
        <v>370883</v>
      </c>
      <c r="N635" s="242">
        <v>336909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-114067</v>
      </c>
      <c r="H636" s="239"/>
      <c r="I636" s="239"/>
      <c r="J636" s="210">
        <v>-27934</v>
      </c>
      <c r="K636" s="209">
        <v>0</v>
      </c>
      <c r="L636" s="209">
        <v>-142001</v>
      </c>
      <c r="M636" s="209">
        <v>304948.67</v>
      </c>
      <c r="N636" s="242">
        <v>277014.67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-111577</v>
      </c>
      <c r="H637" s="239"/>
      <c r="I637" s="239"/>
      <c r="J637" s="210">
        <v>-25047.75</v>
      </c>
      <c r="K637" s="209">
        <v>0</v>
      </c>
      <c r="L637" s="209">
        <v>-136624.75</v>
      </c>
      <c r="M637" s="209">
        <v>25047.75</v>
      </c>
      <c r="N637" s="242">
        <v>0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-129560</v>
      </c>
      <c r="H638" s="239"/>
      <c r="I638" s="239"/>
      <c r="J638" s="210">
        <v>-32391</v>
      </c>
      <c r="K638" s="209">
        <v>0</v>
      </c>
      <c r="L638" s="209">
        <v>-161951</v>
      </c>
      <c r="M638" s="209">
        <v>194344</v>
      </c>
      <c r="N638" s="242">
        <v>161953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-525330</v>
      </c>
      <c r="H639" s="239"/>
      <c r="I639" s="239"/>
      <c r="J639" s="210">
        <v>-131334</v>
      </c>
      <c r="K639" s="209">
        <v>0</v>
      </c>
      <c r="L639" s="209">
        <v>-656664</v>
      </c>
      <c r="M639" s="209">
        <v>788004.25</v>
      </c>
      <c r="N639" s="242">
        <v>656670.25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-61931</v>
      </c>
      <c r="H640" s="239"/>
      <c r="I640" s="239"/>
      <c r="J640" s="210">
        <v>-15483</v>
      </c>
      <c r="K640" s="209">
        <v>0</v>
      </c>
      <c r="L640" s="209">
        <v>-77414</v>
      </c>
      <c r="M640" s="209">
        <v>15483.43</v>
      </c>
      <c r="N640" s="242">
        <v>0.43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-111125</v>
      </c>
      <c r="H641" s="239"/>
      <c r="I641" s="239"/>
      <c r="J641" s="210">
        <v>-27782</v>
      </c>
      <c r="K641" s="209">
        <v>0</v>
      </c>
      <c r="L641" s="209">
        <v>-138907</v>
      </c>
      <c r="M641" s="209">
        <v>166689.5</v>
      </c>
      <c r="N641" s="242">
        <v>138907.5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-31012</v>
      </c>
      <c r="H642" s="239"/>
      <c r="I642" s="239"/>
      <c r="J642" s="210">
        <v>-7753</v>
      </c>
      <c r="K642" s="209">
        <v>0</v>
      </c>
      <c r="L642" s="209">
        <v>-38765</v>
      </c>
      <c r="M642" s="209">
        <v>46519.18</v>
      </c>
      <c r="N642" s="242">
        <v>38766.18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-15354</v>
      </c>
      <c r="H643" s="239"/>
      <c r="I643" s="239"/>
      <c r="J643" s="210">
        <v>-3838</v>
      </c>
      <c r="K643" s="209">
        <v>0</v>
      </c>
      <c r="L643" s="209">
        <v>-19192</v>
      </c>
      <c r="M643" s="209">
        <v>23029.25</v>
      </c>
      <c r="N643" s="242">
        <v>19191.25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-115234</v>
      </c>
      <c r="H644" s="239"/>
      <c r="I644" s="239"/>
      <c r="J644" s="210">
        <v>-30062</v>
      </c>
      <c r="K644" s="209">
        <v>0</v>
      </c>
      <c r="L644" s="209">
        <v>-145296</v>
      </c>
      <c r="M644" s="209">
        <v>35071.800000000003</v>
      </c>
      <c r="N644" s="242">
        <v>5009.8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-149251</v>
      </c>
      <c r="H645" s="239"/>
      <c r="I645" s="239"/>
      <c r="J645" s="210">
        <v>-39799</v>
      </c>
      <c r="K645" s="209">
        <v>0</v>
      </c>
      <c r="L645" s="209">
        <v>-189050</v>
      </c>
      <c r="M645" s="209">
        <v>49749</v>
      </c>
      <c r="N645" s="242">
        <v>9950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-77788</v>
      </c>
      <c r="H646" s="239"/>
      <c r="I646" s="239"/>
      <c r="J646" s="210">
        <v>-20742</v>
      </c>
      <c r="K646" s="209">
        <v>0</v>
      </c>
      <c r="L646" s="209">
        <v>-98530</v>
      </c>
      <c r="M646" s="209">
        <v>25927.62</v>
      </c>
      <c r="N646" s="242">
        <v>5185.62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-175810</v>
      </c>
      <c r="H647" s="239"/>
      <c r="I647" s="239"/>
      <c r="J647" s="210">
        <v>-46882</v>
      </c>
      <c r="K647" s="209">
        <v>0</v>
      </c>
      <c r="L647" s="209">
        <v>-222692</v>
      </c>
      <c r="M647" s="209">
        <v>293014</v>
      </c>
      <c r="N647" s="242">
        <v>246132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-13388</v>
      </c>
      <c r="H648" s="239"/>
      <c r="I648" s="239"/>
      <c r="J648" s="210">
        <v>-3570</v>
      </c>
      <c r="K648" s="209">
        <v>0</v>
      </c>
      <c r="L648" s="209">
        <v>-16958</v>
      </c>
      <c r="M648" s="209">
        <v>22312</v>
      </c>
      <c r="N648" s="242">
        <v>18742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-59400</v>
      </c>
      <c r="H649" s="239"/>
      <c r="I649" s="239"/>
      <c r="J649" s="210">
        <v>-15840</v>
      </c>
      <c r="K649" s="209">
        <v>0</v>
      </c>
      <c r="L649" s="209">
        <v>-75240</v>
      </c>
      <c r="M649" s="209">
        <v>99000</v>
      </c>
      <c r="N649" s="242">
        <v>83160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-37498</v>
      </c>
      <c r="H650" s="239"/>
      <c r="I650" s="239"/>
      <c r="J650" s="210">
        <v>-10000</v>
      </c>
      <c r="K650" s="209">
        <v>0</v>
      </c>
      <c r="L650" s="209">
        <v>-47498</v>
      </c>
      <c r="M650" s="209">
        <v>112502</v>
      </c>
      <c r="N650" s="242">
        <v>102502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-224532</v>
      </c>
      <c r="H651" s="239"/>
      <c r="I651" s="239"/>
      <c r="J651" s="210">
        <v>-59875</v>
      </c>
      <c r="K651" s="209">
        <v>0</v>
      </c>
      <c r="L651" s="209">
        <v>-284407</v>
      </c>
      <c r="M651" s="209">
        <v>374214.98</v>
      </c>
      <c r="N651" s="242">
        <v>314339.98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-153351</v>
      </c>
      <c r="H652" s="239"/>
      <c r="I652" s="239"/>
      <c r="J652" s="210">
        <v>-42796</v>
      </c>
      <c r="K652" s="209">
        <v>0</v>
      </c>
      <c r="L652" s="209">
        <v>-196147</v>
      </c>
      <c r="M652" s="209">
        <v>274609</v>
      </c>
      <c r="N652" s="242">
        <v>231813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-343725</v>
      </c>
      <c r="H653" s="239"/>
      <c r="I653" s="239"/>
      <c r="J653" s="210">
        <v>-95922</v>
      </c>
      <c r="K653" s="209">
        <v>0</v>
      </c>
      <c r="L653" s="209">
        <v>-439647</v>
      </c>
      <c r="M653" s="209">
        <v>135889.85</v>
      </c>
      <c r="N653" s="242">
        <v>39967.85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-97999</v>
      </c>
      <c r="H654" s="239"/>
      <c r="I654" s="239"/>
      <c r="J654" s="210">
        <v>-28000</v>
      </c>
      <c r="K654" s="209">
        <v>0</v>
      </c>
      <c r="L654" s="209">
        <v>-125999</v>
      </c>
      <c r="M654" s="209">
        <v>322001</v>
      </c>
      <c r="N654" s="242">
        <v>294001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-296042</v>
      </c>
      <c r="H655" s="239"/>
      <c r="I655" s="239"/>
      <c r="J655" s="210">
        <v>-91090</v>
      </c>
      <c r="K655" s="209">
        <v>0</v>
      </c>
      <c r="L655" s="209">
        <v>-387132</v>
      </c>
      <c r="M655" s="209">
        <v>159407</v>
      </c>
      <c r="N655" s="242">
        <v>68317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-120825</v>
      </c>
      <c r="H656" s="239"/>
      <c r="I656" s="239"/>
      <c r="J656" s="210">
        <v>-37177</v>
      </c>
      <c r="K656" s="209">
        <v>0</v>
      </c>
      <c r="L656" s="209">
        <v>-158002</v>
      </c>
      <c r="M656" s="209">
        <v>65060</v>
      </c>
      <c r="N656" s="242">
        <v>27883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-219455</v>
      </c>
      <c r="H657" s="239"/>
      <c r="I657" s="239"/>
      <c r="J657" s="210">
        <v>-67525</v>
      </c>
      <c r="K657" s="209">
        <v>0</v>
      </c>
      <c r="L657" s="209">
        <v>-286980</v>
      </c>
      <c r="M657" s="209">
        <v>455792.9</v>
      </c>
      <c r="N657" s="242">
        <v>388267.9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-55510</v>
      </c>
      <c r="H658" s="239"/>
      <c r="I658" s="239"/>
      <c r="J658" s="210">
        <v>-17080</v>
      </c>
      <c r="K658" s="209">
        <v>0</v>
      </c>
      <c r="L658" s="209">
        <v>-72590</v>
      </c>
      <c r="M658" s="209">
        <v>29890</v>
      </c>
      <c r="N658" s="242">
        <v>12810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-72292</v>
      </c>
      <c r="H659" s="239"/>
      <c r="I659" s="239"/>
      <c r="J659" s="210">
        <v>-22244</v>
      </c>
      <c r="K659" s="209">
        <v>0</v>
      </c>
      <c r="L659" s="209">
        <v>-94536</v>
      </c>
      <c r="M659" s="209">
        <v>38926.449999999997</v>
      </c>
      <c r="N659" s="242">
        <v>16682.45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-98120</v>
      </c>
      <c r="H660" s="239"/>
      <c r="I660" s="239"/>
      <c r="J660" s="210">
        <v>-30985</v>
      </c>
      <c r="K660" s="209">
        <v>0</v>
      </c>
      <c r="L660" s="209">
        <v>-129105</v>
      </c>
      <c r="M660" s="209">
        <v>211733.21</v>
      </c>
      <c r="N660" s="242">
        <v>180748.21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-80229</v>
      </c>
      <c r="H661" s="239"/>
      <c r="I661" s="239"/>
      <c r="J661" s="210">
        <v>-25336</v>
      </c>
      <c r="K661" s="209">
        <v>0</v>
      </c>
      <c r="L661" s="209">
        <v>-105565</v>
      </c>
      <c r="M661" s="209">
        <v>173126.85</v>
      </c>
      <c r="N661" s="242">
        <v>147790.85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-3756022.44</v>
      </c>
      <c r="H743" s="239"/>
      <c r="I743" s="239"/>
      <c r="J743" s="210">
        <v>-247701</v>
      </c>
      <c r="K743" s="209">
        <v>0</v>
      </c>
      <c r="L743" s="209">
        <v>-4003723.44</v>
      </c>
      <c r="M743" s="209">
        <v>247701.06</v>
      </c>
      <c r="N743" s="242">
        <v>0.06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-1464329.52</v>
      </c>
      <c r="H769" s="239"/>
      <c r="I769" s="239"/>
      <c r="J769" s="210">
        <v>-96570</v>
      </c>
      <c r="K769" s="209">
        <v>0</v>
      </c>
      <c r="L769" s="209">
        <v>-1560899.52</v>
      </c>
      <c r="M769" s="209">
        <v>386279.72</v>
      </c>
      <c r="N769" s="242">
        <v>289709.71999999997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-2808560.39</v>
      </c>
      <c r="H798" s="239"/>
      <c r="I798" s="239"/>
      <c r="J798" s="210">
        <v>-200609.61</v>
      </c>
      <c r="K798" s="209">
        <v>0</v>
      </c>
      <c r="L798" s="209">
        <v>-3009170</v>
      </c>
      <c r="M798" s="209">
        <v>200609.61</v>
      </c>
      <c r="N798" s="242">
        <v>0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-836800</v>
      </c>
      <c r="H843" s="239"/>
      <c r="I843" s="239"/>
      <c r="J843" s="210">
        <v>0</v>
      </c>
      <c r="K843" s="209">
        <v>0</v>
      </c>
      <c r="L843" s="209">
        <v>-836800</v>
      </c>
      <c r="M843" s="209">
        <v>0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-51264</v>
      </c>
      <c r="H846" s="239"/>
      <c r="I846" s="239"/>
      <c r="J846" s="210">
        <v>0</v>
      </c>
      <c r="K846" s="209">
        <v>0</v>
      </c>
      <c r="L846" s="209">
        <v>-51264</v>
      </c>
      <c r="M846" s="209">
        <v>0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-432660</v>
      </c>
      <c r="H850" s="239"/>
      <c r="I850" s="239"/>
      <c r="J850" s="210">
        <v>0</v>
      </c>
      <c r="K850" s="209">
        <v>0</v>
      </c>
      <c r="L850" s="209">
        <v>-432660</v>
      </c>
      <c r="M850" s="209">
        <v>0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-8114080</v>
      </c>
      <c r="H860" s="239"/>
      <c r="I860" s="239"/>
      <c r="J860" s="210">
        <v>0</v>
      </c>
      <c r="K860" s="209">
        <v>0</v>
      </c>
      <c r="L860" s="209">
        <v>-8114080</v>
      </c>
      <c r="M860" s="209">
        <v>0</v>
      </c>
      <c r="N860" s="242">
        <v>0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-948740.88</v>
      </c>
      <c r="H861" s="239"/>
      <c r="I861" s="239"/>
      <c r="J861" s="210">
        <v>0</v>
      </c>
      <c r="K861" s="209">
        <v>0</v>
      </c>
      <c r="L861" s="209">
        <v>-948740.88</v>
      </c>
      <c r="M861" s="209">
        <v>0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-104887492.01000001</v>
      </c>
      <c r="H862" s="244"/>
      <c r="I862" s="244"/>
      <c r="J862" s="208">
        <v>-5185713.0199999996</v>
      </c>
      <c r="K862" s="207">
        <v>0</v>
      </c>
      <c r="L862" s="207">
        <v>-110073205.03</v>
      </c>
      <c r="M862" s="207">
        <v>29081582.920000002</v>
      </c>
      <c r="N862" s="245">
        <v>23895869.899999999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-245334859.71000001</v>
      </c>
      <c r="H871" s="239"/>
      <c r="I871" s="239"/>
      <c r="J871" s="202">
        <v>-7441333.8499999996</v>
      </c>
      <c r="K871" s="201">
        <v>0</v>
      </c>
      <c r="L871" s="201">
        <v>-252776193.56</v>
      </c>
      <c r="M871" s="201">
        <v>40490866.520000003</v>
      </c>
      <c r="N871" s="253">
        <v>33049532.670000002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8BC3-0083-4C6B-9717-4995B5F8FA32}">
  <dimension ref="A1:O872"/>
  <sheetViews>
    <sheetView showGridLines="0" workbookViewId="0">
      <pane ySplit="15" topLeftCell="A854" activePane="bottomLeft" state="frozen"/>
      <selection pane="bottomLeft" activeCell="J4" sqref="J1:J1048576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1816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1813</v>
      </c>
      <c r="D14" s="212" t="s">
        <v>162</v>
      </c>
      <c r="E14" s="212" t="s">
        <v>163</v>
      </c>
      <c r="F14" s="212" t="s">
        <v>1817</v>
      </c>
      <c r="G14" s="251" t="s">
        <v>1814</v>
      </c>
      <c r="H14" s="239"/>
      <c r="I14" s="239"/>
      <c r="J14" s="213" t="s">
        <v>166</v>
      </c>
      <c r="K14" s="212" t="s">
        <v>167</v>
      </c>
      <c r="L14" s="212" t="s">
        <v>1818</v>
      </c>
      <c r="M14" s="212" t="s">
        <v>1815</v>
      </c>
      <c r="N14" s="251" t="s">
        <v>1819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-1851081.11</v>
      </c>
      <c r="H18" s="239"/>
      <c r="I18" s="239"/>
      <c r="J18" s="210">
        <v>-76334</v>
      </c>
      <c r="K18" s="209">
        <v>0</v>
      </c>
      <c r="L18" s="209">
        <v>-1927415.11</v>
      </c>
      <c r="M18" s="209">
        <v>438918.89</v>
      </c>
      <c r="N18" s="242">
        <v>362584.89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-929000</v>
      </c>
      <c r="H19" s="239"/>
      <c r="I19" s="239"/>
      <c r="J19" s="210">
        <v>0</v>
      </c>
      <c r="K19" s="209">
        <v>0</v>
      </c>
      <c r="L19" s="209">
        <v>-929000</v>
      </c>
      <c r="M19" s="209">
        <v>0</v>
      </c>
      <c r="N19" s="242">
        <v>0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-230000</v>
      </c>
      <c r="H20" s="239"/>
      <c r="I20" s="239"/>
      <c r="J20" s="210">
        <v>0</v>
      </c>
      <c r="K20" s="209">
        <v>0</v>
      </c>
      <c r="L20" s="209">
        <v>-230000</v>
      </c>
      <c r="M20" s="209">
        <v>0</v>
      </c>
      <c r="N20" s="242">
        <v>0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-969000</v>
      </c>
      <c r="H21" s="239"/>
      <c r="I21" s="239"/>
      <c r="J21" s="210">
        <v>0</v>
      </c>
      <c r="K21" s="209">
        <v>0</v>
      </c>
      <c r="L21" s="209">
        <v>-969000</v>
      </c>
      <c r="M21" s="209">
        <v>0</v>
      </c>
      <c r="N21" s="242">
        <v>0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-3979081.11</v>
      </c>
      <c r="H22" s="244"/>
      <c r="I22" s="244"/>
      <c r="J22" s="208">
        <v>-76334</v>
      </c>
      <c r="K22" s="207">
        <v>0</v>
      </c>
      <c r="L22" s="207">
        <v>-4055415.11</v>
      </c>
      <c r="M22" s="207">
        <v>438918.89</v>
      </c>
      <c r="N22" s="245">
        <v>362584.89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-6608400</v>
      </c>
      <c r="H36" s="239"/>
      <c r="I36" s="239"/>
      <c r="J36" s="210">
        <v>0</v>
      </c>
      <c r="K36" s="209">
        <v>0</v>
      </c>
      <c r="L36" s="209">
        <v>-6608400</v>
      </c>
      <c r="M36" s="209">
        <v>0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-7138338</v>
      </c>
      <c r="H37" s="239"/>
      <c r="I37" s="239"/>
      <c r="J37" s="210">
        <v>0</v>
      </c>
      <c r="K37" s="209">
        <v>0</v>
      </c>
      <c r="L37" s="209">
        <v>-7138338</v>
      </c>
      <c r="M37" s="209">
        <v>0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-1728820</v>
      </c>
      <c r="H38" s="239"/>
      <c r="I38" s="239"/>
      <c r="J38" s="210">
        <v>0</v>
      </c>
      <c r="K38" s="209">
        <v>0</v>
      </c>
      <c r="L38" s="209">
        <v>-1728820</v>
      </c>
      <c r="M38" s="209">
        <v>0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-1728820</v>
      </c>
      <c r="H39" s="239"/>
      <c r="I39" s="239"/>
      <c r="J39" s="210">
        <v>0</v>
      </c>
      <c r="K39" s="209">
        <v>0</v>
      </c>
      <c r="L39" s="209">
        <v>-1728820</v>
      </c>
      <c r="M39" s="209">
        <v>0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-1728820</v>
      </c>
      <c r="H40" s="239"/>
      <c r="I40" s="239"/>
      <c r="J40" s="210">
        <v>0</v>
      </c>
      <c r="K40" s="209">
        <v>0</v>
      </c>
      <c r="L40" s="209">
        <v>-1728820</v>
      </c>
      <c r="M40" s="209">
        <v>0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-887051.85</v>
      </c>
      <c r="H42" s="239"/>
      <c r="I42" s="239"/>
      <c r="J42" s="210">
        <v>-98730</v>
      </c>
      <c r="K42" s="209">
        <v>0</v>
      </c>
      <c r="L42" s="209">
        <v>-985781.85</v>
      </c>
      <c r="M42" s="209">
        <v>98730.46</v>
      </c>
      <c r="N42" s="242">
        <v>0.46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-1567000</v>
      </c>
      <c r="H44" s="239"/>
      <c r="I44" s="239"/>
      <c r="J44" s="210">
        <v>0</v>
      </c>
      <c r="K44" s="209">
        <v>0</v>
      </c>
      <c r="L44" s="209">
        <v>-1567000</v>
      </c>
      <c r="M44" s="209">
        <v>0</v>
      </c>
      <c r="N44" s="242">
        <v>0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-1264347.94</v>
      </c>
      <c r="H45" s="239"/>
      <c r="I45" s="239"/>
      <c r="J45" s="210">
        <v>0</v>
      </c>
      <c r="K45" s="209">
        <v>0</v>
      </c>
      <c r="L45" s="209">
        <v>-1264347.94</v>
      </c>
      <c r="M45" s="209">
        <v>0</v>
      </c>
      <c r="N45" s="242">
        <v>0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-1567000</v>
      </c>
      <c r="H47" s="239"/>
      <c r="I47" s="239"/>
      <c r="J47" s="210">
        <v>0</v>
      </c>
      <c r="K47" s="209">
        <v>0</v>
      </c>
      <c r="L47" s="209">
        <v>-1567000</v>
      </c>
      <c r="M47" s="209">
        <v>0</v>
      </c>
      <c r="N47" s="242">
        <v>0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-750224</v>
      </c>
      <c r="H48" s="239"/>
      <c r="I48" s="239"/>
      <c r="J48" s="210">
        <v>0</v>
      </c>
      <c r="K48" s="209">
        <v>0</v>
      </c>
      <c r="L48" s="209">
        <v>-750224</v>
      </c>
      <c r="M48" s="209">
        <v>0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-654354</v>
      </c>
      <c r="H49" s="239"/>
      <c r="I49" s="239"/>
      <c r="J49" s="210">
        <v>0</v>
      </c>
      <c r="K49" s="209">
        <v>0</v>
      </c>
      <c r="L49" s="209">
        <v>-654354</v>
      </c>
      <c r="M49" s="209">
        <v>0</v>
      </c>
      <c r="N49" s="242">
        <v>0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-654354</v>
      </c>
      <c r="H51" s="239"/>
      <c r="I51" s="239"/>
      <c r="J51" s="210">
        <v>0</v>
      </c>
      <c r="K51" s="209">
        <v>0</v>
      </c>
      <c r="L51" s="209">
        <v>-654354</v>
      </c>
      <c r="M51" s="209">
        <v>0</v>
      </c>
      <c r="N51" s="242">
        <v>0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-654354</v>
      </c>
      <c r="H52" s="239"/>
      <c r="I52" s="239"/>
      <c r="J52" s="210">
        <v>0</v>
      </c>
      <c r="K52" s="209">
        <v>0</v>
      </c>
      <c r="L52" s="209">
        <v>-654354</v>
      </c>
      <c r="M52" s="209">
        <v>0</v>
      </c>
      <c r="N52" s="242">
        <v>0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-654354</v>
      </c>
      <c r="H53" s="239"/>
      <c r="I53" s="239"/>
      <c r="J53" s="210">
        <v>0</v>
      </c>
      <c r="K53" s="209">
        <v>0</v>
      </c>
      <c r="L53" s="209">
        <v>-654354</v>
      </c>
      <c r="M53" s="209">
        <v>0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-654354</v>
      </c>
      <c r="H54" s="239"/>
      <c r="I54" s="239"/>
      <c r="J54" s="210">
        <v>0</v>
      </c>
      <c r="K54" s="209">
        <v>0</v>
      </c>
      <c r="L54" s="209">
        <v>-654354</v>
      </c>
      <c r="M54" s="209">
        <v>0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-654354</v>
      </c>
      <c r="H59" s="239"/>
      <c r="I59" s="239"/>
      <c r="J59" s="210">
        <v>0</v>
      </c>
      <c r="K59" s="209">
        <v>0</v>
      </c>
      <c r="L59" s="209">
        <v>-654354</v>
      </c>
      <c r="M59" s="209">
        <v>0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-654354</v>
      </c>
      <c r="H62" s="239"/>
      <c r="I62" s="239"/>
      <c r="J62" s="210">
        <v>0</v>
      </c>
      <c r="K62" s="209">
        <v>0</v>
      </c>
      <c r="L62" s="209">
        <v>-654354</v>
      </c>
      <c r="M62" s="209">
        <v>0</v>
      </c>
      <c r="N62" s="242">
        <v>0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-654354</v>
      </c>
      <c r="H63" s="239"/>
      <c r="I63" s="239"/>
      <c r="J63" s="210">
        <v>0</v>
      </c>
      <c r="K63" s="209">
        <v>0</v>
      </c>
      <c r="L63" s="209">
        <v>-654354</v>
      </c>
      <c r="M63" s="209">
        <v>0</v>
      </c>
      <c r="N63" s="242">
        <v>0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-654354</v>
      </c>
      <c r="H64" s="239"/>
      <c r="I64" s="239"/>
      <c r="J64" s="210">
        <v>0</v>
      </c>
      <c r="K64" s="209">
        <v>0</v>
      </c>
      <c r="L64" s="209">
        <v>-654354</v>
      </c>
      <c r="M64" s="209">
        <v>0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-654354</v>
      </c>
      <c r="H65" s="239"/>
      <c r="I65" s="239"/>
      <c r="J65" s="210">
        <v>0</v>
      </c>
      <c r="K65" s="209">
        <v>0</v>
      </c>
      <c r="L65" s="209">
        <v>-654354</v>
      </c>
      <c r="M65" s="209">
        <v>0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-654354</v>
      </c>
      <c r="H66" s="239"/>
      <c r="I66" s="239"/>
      <c r="J66" s="210">
        <v>0</v>
      </c>
      <c r="K66" s="209">
        <v>0</v>
      </c>
      <c r="L66" s="209">
        <v>-654354</v>
      </c>
      <c r="M66" s="209">
        <v>0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-654353</v>
      </c>
      <c r="H68" s="239"/>
      <c r="I68" s="239"/>
      <c r="J68" s="210">
        <v>0</v>
      </c>
      <c r="K68" s="209">
        <v>0</v>
      </c>
      <c r="L68" s="209">
        <v>-654353</v>
      </c>
      <c r="M68" s="209">
        <v>0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-654353</v>
      </c>
      <c r="H73" s="239"/>
      <c r="I73" s="239"/>
      <c r="J73" s="210">
        <v>0</v>
      </c>
      <c r="K73" s="209">
        <v>0</v>
      </c>
      <c r="L73" s="209">
        <v>-654353</v>
      </c>
      <c r="M73" s="209">
        <v>0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-654353</v>
      </c>
      <c r="H75" s="239"/>
      <c r="I75" s="239"/>
      <c r="J75" s="210">
        <v>0</v>
      </c>
      <c r="K75" s="209">
        <v>0</v>
      </c>
      <c r="L75" s="209">
        <v>-654353</v>
      </c>
      <c r="M75" s="209">
        <v>0</v>
      </c>
      <c r="N75" s="242">
        <v>0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-654353</v>
      </c>
      <c r="H76" s="239"/>
      <c r="I76" s="239"/>
      <c r="J76" s="210">
        <v>0</v>
      </c>
      <c r="K76" s="209">
        <v>0</v>
      </c>
      <c r="L76" s="209">
        <v>-654353</v>
      </c>
      <c r="M76" s="209">
        <v>0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-654353</v>
      </c>
      <c r="H78" s="239"/>
      <c r="I78" s="239"/>
      <c r="J78" s="210">
        <v>0</v>
      </c>
      <c r="K78" s="209">
        <v>0</v>
      </c>
      <c r="L78" s="209">
        <v>-654353</v>
      </c>
      <c r="M78" s="209">
        <v>0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-654353</v>
      </c>
      <c r="H79" s="239"/>
      <c r="I79" s="239"/>
      <c r="J79" s="210">
        <v>0</v>
      </c>
      <c r="K79" s="209">
        <v>0</v>
      </c>
      <c r="L79" s="209">
        <v>-654353</v>
      </c>
      <c r="M79" s="209">
        <v>0</v>
      </c>
      <c r="N79" s="242">
        <v>0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-654353</v>
      </c>
      <c r="H80" s="239"/>
      <c r="I80" s="239"/>
      <c r="J80" s="210">
        <v>0</v>
      </c>
      <c r="K80" s="209">
        <v>0</v>
      </c>
      <c r="L80" s="209">
        <v>-654353</v>
      </c>
      <c r="M80" s="209">
        <v>0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-654353</v>
      </c>
      <c r="H82" s="239"/>
      <c r="I82" s="239"/>
      <c r="J82" s="210">
        <v>0</v>
      </c>
      <c r="K82" s="209">
        <v>0</v>
      </c>
      <c r="L82" s="209">
        <v>-654353</v>
      </c>
      <c r="M82" s="209">
        <v>0</v>
      </c>
      <c r="N82" s="242">
        <v>0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-654353</v>
      </c>
      <c r="H83" s="239"/>
      <c r="I83" s="239"/>
      <c r="J83" s="210">
        <v>0</v>
      </c>
      <c r="K83" s="209">
        <v>0</v>
      </c>
      <c r="L83" s="209">
        <v>-654353</v>
      </c>
      <c r="M83" s="209">
        <v>0</v>
      </c>
      <c r="N83" s="242">
        <v>0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-654353</v>
      </c>
      <c r="H85" s="239"/>
      <c r="I85" s="239"/>
      <c r="J85" s="210">
        <v>0</v>
      </c>
      <c r="K85" s="209">
        <v>0</v>
      </c>
      <c r="L85" s="209">
        <v>-654353</v>
      </c>
      <c r="M85" s="209">
        <v>0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-654353</v>
      </c>
      <c r="H87" s="239"/>
      <c r="I87" s="239"/>
      <c r="J87" s="210">
        <v>0</v>
      </c>
      <c r="K87" s="209">
        <v>0</v>
      </c>
      <c r="L87" s="209">
        <v>-654353</v>
      </c>
      <c r="M87" s="209">
        <v>0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-654353</v>
      </c>
      <c r="H91" s="239"/>
      <c r="I91" s="239"/>
      <c r="J91" s="210">
        <v>0</v>
      </c>
      <c r="K91" s="209">
        <v>0</v>
      </c>
      <c r="L91" s="209">
        <v>-654353</v>
      </c>
      <c r="M91" s="209">
        <v>0</v>
      </c>
      <c r="N91" s="242">
        <v>0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-654353</v>
      </c>
      <c r="H92" s="239"/>
      <c r="I92" s="239"/>
      <c r="J92" s="210">
        <v>0</v>
      </c>
      <c r="K92" s="209">
        <v>0</v>
      </c>
      <c r="L92" s="209">
        <v>-654353</v>
      </c>
      <c r="M92" s="209">
        <v>0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-654353</v>
      </c>
      <c r="H96" s="239"/>
      <c r="I96" s="239"/>
      <c r="J96" s="210">
        <v>0</v>
      </c>
      <c r="K96" s="209">
        <v>0</v>
      </c>
      <c r="L96" s="209">
        <v>-654353</v>
      </c>
      <c r="M96" s="209">
        <v>0</v>
      </c>
      <c r="N96" s="242">
        <v>0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-654353</v>
      </c>
      <c r="H97" s="239"/>
      <c r="I97" s="239"/>
      <c r="J97" s="210">
        <v>0</v>
      </c>
      <c r="K97" s="209">
        <v>0</v>
      </c>
      <c r="L97" s="209">
        <v>-654353</v>
      </c>
      <c r="M97" s="209">
        <v>0</v>
      </c>
      <c r="N97" s="242">
        <v>0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-654353</v>
      </c>
      <c r="H99" s="239"/>
      <c r="I99" s="239"/>
      <c r="J99" s="210">
        <v>0</v>
      </c>
      <c r="K99" s="209">
        <v>0</v>
      </c>
      <c r="L99" s="209">
        <v>-654353</v>
      </c>
      <c r="M99" s="209">
        <v>0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-654353</v>
      </c>
      <c r="H102" s="239"/>
      <c r="I102" s="239"/>
      <c r="J102" s="210">
        <v>0</v>
      </c>
      <c r="K102" s="209">
        <v>0</v>
      </c>
      <c r="L102" s="209">
        <v>-654353</v>
      </c>
      <c r="M102" s="209">
        <v>0</v>
      </c>
      <c r="N102" s="242">
        <v>0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-654353</v>
      </c>
      <c r="H103" s="239"/>
      <c r="I103" s="239"/>
      <c r="J103" s="210">
        <v>0</v>
      </c>
      <c r="K103" s="209">
        <v>0</v>
      </c>
      <c r="L103" s="209">
        <v>-654353</v>
      </c>
      <c r="M103" s="209">
        <v>0</v>
      </c>
      <c r="N103" s="242">
        <v>0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-1100000</v>
      </c>
      <c r="H285" s="239"/>
      <c r="I285" s="239"/>
      <c r="J285" s="210">
        <v>0</v>
      </c>
      <c r="K285" s="209">
        <v>0</v>
      </c>
      <c r="L285" s="209">
        <v>-1100000</v>
      </c>
      <c r="M285" s="209">
        <v>0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-1100000</v>
      </c>
      <c r="H286" s="239"/>
      <c r="I286" s="239"/>
      <c r="J286" s="210">
        <v>0</v>
      </c>
      <c r="K286" s="209">
        <v>0</v>
      </c>
      <c r="L286" s="209">
        <v>-1100000</v>
      </c>
      <c r="M286" s="209">
        <v>0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-109019986.33</v>
      </c>
      <c r="H290" s="244"/>
      <c r="I290" s="244"/>
      <c r="J290" s="208">
        <v>-98730</v>
      </c>
      <c r="K290" s="207">
        <v>0</v>
      </c>
      <c r="L290" s="207">
        <v>-109118716.33</v>
      </c>
      <c r="M290" s="207">
        <v>98736.42</v>
      </c>
      <c r="N290" s="245">
        <v>6.42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-230276.72</v>
      </c>
      <c r="H294" s="239"/>
      <c r="I294" s="239"/>
      <c r="J294" s="210">
        <v>-19191</v>
      </c>
      <c r="K294" s="209">
        <v>0</v>
      </c>
      <c r="L294" s="209">
        <v>-249467.72</v>
      </c>
      <c r="M294" s="209">
        <v>153524.28</v>
      </c>
      <c r="N294" s="242">
        <v>134333.28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-3805125.94</v>
      </c>
      <c r="H295" s="239"/>
      <c r="I295" s="239"/>
      <c r="J295" s="210">
        <v>-317163</v>
      </c>
      <c r="K295" s="209">
        <v>0</v>
      </c>
      <c r="L295" s="209">
        <v>-4122288.94</v>
      </c>
      <c r="M295" s="209">
        <v>2537306.06</v>
      </c>
      <c r="N295" s="242">
        <v>2220143.06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-2176885.58</v>
      </c>
      <c r="H296" s="239"/>
      <c r="I296" s="239"/>
      <c r="J296" s="210">
        <v>-181453</v>
      </c>
      <c r="K296" s="209">
        <v>0</v>
      </c>
      <c r="L296" s="209">
        <v>-2358338.58</v>
      </c>
      <c r="M296" s="209">
        <v>544357.42000000004</v>
      </c>
      <c r="N296" s="242">
        <v>362904.42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-3454580.55</v>
      </c>
      <c r="H297" s="239"/>
      <c r="I297" s="239"/>
      <c r="J297" s="210">
        <v>-287886</v>
      </c>
      <c r="K297" s="209">
        <v>0</v>
      </c>
      <c r="L297" s="209">
        <v>-3742466.55</v>
      </c>
      <c r="M297" s="209">
        <v>863658.25</v>
      </c>
      <c r="N297" s="242">
        <v>575772.25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-2486290.89</v>
      </c>
      <c r="H298" s="239"/>
      <c r="I298" s="239"/>
      <c r="J298" s="210">
        <v>-207201</v>
      </c>
      <c r="K298" s="209">
        <v>0</v>
      </c>
      <c r="L298" s="209">
        <v>-2693491.89</v>
      </c>
      <c r="M298" s="209">
        <v>1657607.71</v>
      </c>
      <c r="N298" s="242">
        <v>1450406.71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-505253.52</v>
      </c>
      <c r="H299" s="239"/>
      <c r="I299" s="239"/>
      <c r="J299" s="210">
        <v>-42282</v>
      </c>
      <c r="K299" s="209">
        <v>0</v>
      </c>
      <c r="L299" s="209">
        <v>-547535.52</v>
      </c>
      <c r="M299" s="209">
        <v>126846.08</v>
      </c>
      <c r="N299" s="242">
        <v>84564.08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-357908.46</v>
      </c>
      <c r="H300" s="239"/>
      <c r="I300" s="239"/>
      <c r="J300" s="210">
        <v>-32538</v>
      </c>
      <c r="K300" s="209">
        <v>0</v>
      </c>
      <c r="L300" s="209">
        <v>-390446.46</v>
      </c>
      <c r="M300" s="209">
        <v>292841.53999999998</v>
      </c>
      <c r="N300" s="242">
        <v>260303.54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-63426.26</v>
      </c>
      <c r="H301" s="239"/>
      <c r="I301" s="239"/>
      <c r="J301" s="210">
        <v>-5981</v>
      </c>
      <c r="K301" s="209">
        <v>0</v>
      </c>
      <c r="L301" s="209">
        <v>-69407.259999999995</v>
      </c>
      <c r="M301" s="209">
        <v>55823.74</v>
      </c>
      <c r="N301" s="242">
        <v>49842.74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-1641745.14</v>
      </c>
      <c r="H302" s="239"/>
      <c r="I302" s="239"/>
      <c r="J302" s="210">
        <v>-164176</v>
      </c>
      <c r="K302" s="209">
        <v>0</v>
      </c>
      <c r="L302" s="209">
        <v>-1805921.14</v>
      </c>
      <c r="M302" s="209">
        <v>1641757.86</v>
      </c>
      <c r="N302" s="242">
        <v>1477581.86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-42014</v>
      </c>
      <c r="H304" s="239"/>
      <c r="I304" s="239"/>
      <c r="J304" s="210">
        <v>-6546</v>
      </c>
      <c r="K304" s="209">
        <v>0</v>
      </c>
      <c r="L304" s="209">
        <v>-48560</v>
      </c>
      <c r="M304" s="209">
        <v>56186</v>
      </c>
      <c r="N304" s="242">
        <v>49640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-959601.93</v>
      </c>
      <c r="H305" s="239"/>
      <c r="I305" s="239"/>
      <c r="J305" s="210">
        <v>-73818</v>
      </c>
      <c r="K305" s="209">
        <v>0</v>
      </c>
      <c r="L305" s="209">
        <v>-1033419.93</v>
      </c>
      <c r="M305" s="209">
        <v>147635.07</v>
      </c>
      <c r="N305" s="242">
        <v>73817.070000000007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-15913825.890000001</v>
      </c>
      <c r="H306" s="244"/>
      <c r="I306" s="244"/>
      <c r="J306" s="208">
        <v>-1338235</v>
      </c>
      <c r="K306" s="207">
        <v>0</v>
      </c>
      <c r="L306" s="207">
        <v>-17252060.890000001</v>
      </c>
      <c r="M306" s="207">
        <v>8077544.0099999998</v>
      </c>
      <c r="N306" s="245">
        <v>6739309.0099999998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-246773.3</v>
      </c>
      <c r="H311" s="239"/>
      <c r="I311" s="239"/>
      <c r="J311" s="210">
        <v>-6327.7</v>
      </c>
      <c r="K311" s="209">
        <v>0</v>
      </c>
      <c r="L311" s="209">
        <v>-253101</v>
      </c>
      <c r="M311" s="209">
        <v>6327.7</v>
      </c>
      <c r="N311" s="242">
        <v>0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-245417</v>
      </c>
      <c r="H314" s="239"/>
      <c r="I314" s="239"/>
      <c r="J314" s="210">
        <v>-55093.5</v>
      </c>
      <c r="K314" s="209">
        <v>0</v>
      </c>
      <c r="L314" s="209">
        <v>-300510.5</v>
      </c>
      <c r="M314" s="209">
        <v>55093.5</v>
      </c>
      <c r="N314" s="242">
        <v>0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-744095</v>
      </c>
      <c r="H315" s="239"/>
      <c r="I315" s="239"/>
      <c r="J315" s="210">
        <v>-167041.79999999999</v>
      </c>
      <c r="K315" s="209">
        <v>0</v>
      </c>
      <c r="L315" s="209">
        <v>-911136.8</v>
      </c>
      <c r="M315" s="209">
        <v>167041.79999999999</v>
      </c>
      <c r="N315" s="242">
        <v>0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-13790095.199999999</v>
      </c>
      <c r="H316" s="244"/>
      <c r="I316" s="244"/>
      <c r="J316" s="208">
        <v>-228463</v>
      </c>
      <c r="K316" s="207">
        <v>0</v>
      </c>
      <c r="L316" s="207">
        <v>-14018558.199999999</v>
      </c>
      <c r="M316" s="207">
        <v>228463.45</v>
      </c>
      <c r="N316" s="245">
        <v>0.45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-313654</v>
      </c>
      <c r="H334" s="239"/>
      <c r="I334" s="239"/>
      <c r="J334" s="210">
        <v>0</v>
      </c>
      <c r="K334" s="209">
        <v>0</v>
      </c>
      <c r="L334" s="209">
        <v>-313654</v>
      </c>
      <c r="M334" s="209">
        <v>0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-1244337</v>
      </c>
      <c r="H335" s="239"/>
      <c r="I335" s="239"/>
      <c r="J335" s="210">
        <v>0</v>
      </c>
      <c r="K335" s="209">
        <v>0</v>
      </c>
      <c r="L335" s="209">
        <v>-1244337</v>
      </c>
      <c r="M335" s="209">
        <v>0</v>
      </c>
      <c r="N335" s="242">
        <v>0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-854045.24</v>
      </c>
      <c r="H341" s="239"/>
      <c r="I341" s="239"/>
      <c r="J341" s="210">
        <v>-70424</v>
      </c>
      <c r="K341" s="209">
        <v>0</v>
      </c>
      <c r="L341" s="209">
        <v>-924469.24</v>
      </c>
      <c r="M341" s="209">
        <v>205404.76</v>
      </c>
      <c r="N341" s="242">
        <v>134980.76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-160002.04</v>
      </c>
      <c r="H342" s="239"/>
      <c r="I342" s="239"/>
      <c r="J342" s="210">
        <v>-13246</v>
      </c>
      <c r="K342" s="209">
        <v>0</v>
      </c>
      <c r="L342" s="209">
        <v>-173248.04</v>
      </c>
      <c r="M342" s="209">
        <v>104860.96</v>
      </c>
      <c r="N342" s="242">
        <v>91614.96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-949602</v>
      </c>
      <c r="H353" s="239"/>
      <c r="I353" s="239"/>
      <c r="J353" s="210">
        <v>0</v>
      </c>
      <c r="K353" s="209">
        <v>0</v>
      </c>
      <c r="L353" s="209">
        <v>-949602</v>
      </c>
      <c r="M353" s="209">
        <v>0</v>
      </c>
      <c r="N353" s="242">
        <v>0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-279320.13</v>
      </c>
      <c r="H354" s="239"/>
      <c r="I354" s="239"/>
      <c r="J354" s="210">
        <v>-21045</v>
      </c>
      <c r="K354" s="209">
        <v>0</v>
      </c>
      <c r="L354" s="209">
        <v>-300365.13</v>
      </c>
      <c r="M354" s="209">
        <v>147312.87</v>
      </c>
      <c r="N354" s="242">
        <v>126267.87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-80000</v>
      </c>
      <c r="H357" s="239"/>
      <c r="I357" s="239"/>
      <c r="J357" s="210">
        <v>0</v>
      </c>
      <c r="K357" s="209">
        <v>0</v>
      </c>
      <c r="L357" s="209">
        <v>-80000</v>
      </c>
      <c r="M357" s="209">
        <v>0</v>
      </c>
      <c r="N357" s="242">
        <v>0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-77000</v>
      </c>
      <c r="H358" s="239"/>
      <c r="I358" s="239"/>
      <c r="J358" s="210">
        <v>0</v>
      </c>
      <c r="K358" s="209">
        <v>0</v>
      </c>
      <c r="L358" s="209">
        <v>-77000</v>
      </c>
      <c r="M358" s="209">
        <v>0</v>
      </c>
      <c r="N358" s="242">
        <v>0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-36712</v>
      </c>
      <c r="H359" s="239"/>
      <c r="I359" s="239"/>
      <c r="J359" s="210">
        <v>0</v>
      </c>
      <c r="K359" s="209">
        <v>0</v>
      </c>
      <c r="L359" s="209">
        <v>-36712</v>
      </c>
      <c r="M359" s="209">
        <v>0</v>
      </c>
      <c r="N359" s="242">
        <v>0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-24000</v>
      </c>
      <c r="H362" s="239"/>
      <c r="I362" s="239"/>
      <c r="J362" s="210">
        <v>0</v>
      </c>
      <c r="K362" s="209">
        <v>0</v>
      </c>
      <c r="L362" s="209">
        <v>-24000</v>
      </c>
      <c r="M362" s="209">
        <v>0</v>
      </c>
      <c r="N362" s="242">
        <v>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-2812276.5</v>
      </c>
      <c r="H365" s="239"/>
      <c r="I365" s="239"/>
      <c r="J365" s="210">
        <v>-248142</v>
      </c>
      <c r="K365" s="209">
        <v>0</v>
      </c>
      <c r="L365" s="209">
        <v>-3060418.5</v>
      </c>
      <c r="M365" s="209">
        <v>909853.5</v>
      </c>
      <c r="N365" s="242">
        <v>661711.5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-1475678.81</v>
      </c>
      <c r="H366" s="239"/>
      <c r="I366" s="239"/>
      <c r="J366" s="210">
        <v>-130206</v>
      </c>
      <c r="K366" s="209">
        <v>0</v>
      </c>
      <c r="L366" s="209">
        <v>-1605884.81</v>
      </c>
      <c r="M366" s="209">
        <v>477422.19</v>
      </c>
      <c r="N366" s="242">
        <v>347216.19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-678472.15</v>
      </c>
      <c r="H367" s="239"/>
      <c r="I367" s="239"/>
      <c r="J367" s="210">
        <v>-59863</v>
      </c>
      <c r="K367" s="209">
        <v>0</v>
      </c>
      <c r="L367" s="209">
        <v>-738335.15</v>
      </c>
      <c r="M367" s="209">
        <v>219499.85</v>
      </c>
      <c r="N367" s="242">
        <v>159636.85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-712057.39</v>
      </c>
      <c r="H368" s="239"/>
      <c r="I368" s="239"/>
      <c r="J368" s="210">
        <v>-62827</v>
      </c>
      <c r="K368" s="209">
        <v>0</v>
      </c>
      <c r="L368" s="209">
        <v>-774884.39</v>
      </c>
      <c r="M368" s="209">
        <v>230364.61</v>
      </c>
      <c r="N368" s="242">
        <v>167537.60999999999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-369625.55</v>
      </c>
      <c r="H369" s="239"/>
      <c r="I369" s="239"/>
      <c r="J369" s="210">
        <v>-32613</v>
      </c>
      <c r="K369" s="209">
        <v>0</v>
      </c>
      <c r="L369" s="209">
        <v>-402238.55</v>
      </c>
      <c r="M369" s="209">
        <v>119580.45</v>
      </c>
      <c r="N369" s="242">
        <v>86967.45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-776927.2</v>
      </c>
      <c r="H370" s="239"/>
      <c r="I370" s="239"/>
      <c r="J370" s="210">
        <v>-68551</v>
      </c>
      <c r="K370" s="209">
        <v>0</v>
      </c>
      <c r="L370" s="209">
        <v>-845478.2</v>
      </c>
      <c r="M370" s="209">
        <v>594106.80000000005</v>
      </c>
      <c r="N370" s="242">
        <v>525555.80000000005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-1926980.35</v>
      </c>
      <c r="H371" s="239"/>
      <c r="I371" s="239"/>
      <c r="J371" s="210">
        <v>-170028</v>
      </c>
      <c r="K371" s="209">
        <v>0</v>
      </c>
      <c r="L371" s="209">
        <v>-2097008.35</v>
      </c>
      <c r="M371" s="209">
        <v>623434.65</v>
      </c>
      <c r="N371" s="242">
        <v>453406.65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-503045.65</v>
      </c>
      <c r="H372" s="239"/>
      <c r="I372" s="239"/>
      <c r="J372" s="210">
        <v>-44386</v>
      </c>
      <c r="K372" s="209">
        <v>0</v>
      </c>
      <c r="L372" s="209">
        <v>-547431.65</v>
      </c>
      <c r="M372" s="209">
        <v>828534.35</v>
      </c>
      <c r="N372" s="242">
        <v>784148.35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-612979.65</v>
      </c>
      <c r="H373" s="239"/>
      <c r="I373" s="239"/>
      <c r="J373" s="210">
        <v>-54088</v>
      </c>
      <c r="K373" s="209">
        <v>0</v>
      </c>
      <c r="L373" s="209">
        <v>-667067.65</v>
      </c>
      <c r="M373" s="209">
        <v>198321.35</v>
      </c>
      <c r="N373" s="242">
        <v>144233.35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-79700</v>
      </c>
      <c r="H375" s="239"/>
      <c r="I375" s="239"/>
      <c r="J375" s="210">
        <v>0</v>
      </c>
      <c r="K375" s="209">
        <v>0</v>
      </c>
      <c r="L375" s="209">
        <v>-79700</v>
      </c>
      <c r="M375" s="209">
        <v>0</v>
      </c>
      <c r="N375" s="242">
        <v>0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-90830</v>
      </c>
      <c r="H377" s="239"/>
      <c r="I377" s="239"/>
      <c r="J377" s="210">
        <v>0</v>
      </c>
      <c r="K377" s="209">
        <v>0</v>
      </c>
      <c r="L377" s="209">
        <v>-90830</v>
      </c>
      <c r="M377" s="209">
        <v>0</v>
      </c>
      <c r="N377" s="242">
        <v>0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-91450</v>
      </c>
      <c r="H383" s="239"/>
      <c r="I383" s="239"/>
      <c r="J383" s="210">
        <v>0</v>
      </c>
      <c r="K383" s="209">
        <v>0</v>
      </c>
      <c r="L383" s="209">
        <v>-91450</v>
      </c>
      <c r="M383" s="209">
        <v>0</v>
      </c>
      <c r="N383" s="242">
        <v>0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-194385.55</v>
      </c>
      <c r="H384" s="239"/>
      <c r="I384" s="239"/>
      <c r="J384" s="210">
        <v>0</v>
      </c>
      <c r="K384" s="209">
        <v>0</v>
      </c>
      <c r="L384" s="209">
        <v>-194385.55</v>
      </c>
      <c r="M384" s="209">
        <v>0</v>
      </c>
      <c r="N384" s="242">
        <v>0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-125000</v>
      </c>
      <c r="H385" s="239"/>
      <c r="I385" s="239"/>
      <c r="J385" s="210">
        <v>0</v>
      </c>
      <c r="K385" s="209">
        <v>0</v>
      </c>
      <c r="L385" s="209">
        <v>-125000</v>
      </c>
      <c r="M385" s="209">
        <v>0</v>
      </c>
      <c r="N385" s="242">
        <v>0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-303679.23</v>
      </c>
      <c r="H387" s="239"/>
      <c r="I387" s="239"/>
      <c r="J387" s="210">
        <v>0</v>
      </c>
      <c r="K387" s="209">
        <v>0</v>
      </c>
      <c r="L387" s="209">
        <v>-303679.23</v>
      </c>
      <c r="M387" s="209">
        <v>0</v>
      </c>
      <c r="N387" s="242">
        <v>0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-1005105</v>
      </c>
      <c r="H388" s="239"/>
      <c r="I388" s="239"/>
      <c r="J388" s="210">
        <v>0</v>
      </c>
      <c r="K388" s="209">
        <v>0</v>
      </c>
      <c r="L388" s="209">
        <v>-1005105</v>
      </c>
      <c r="M388" s="209">
        <v>0</v>
      </c>
      <c r="N388" s="242">
        <v>0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-51000</v>
      </c>
      <c r="H389" s="239"/>
      <c r="I389" s="239"/>
      <c r="J389" s="210">
        <v>0</v>
      </c>
      <c r="K389" s="209">
        <v>0</v>
      </c>
      <c r="L389" s="209">
        <v>-51000</v>
      </c>
      <c r="M389" s="209">
        <v>0</v>
      </c>
      <c r="N389" s="242">
        <v>0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-62564</v>
      </c>
      <c r="H390" s="239"/>
      <c r="I390" s="239"/>
      <c r="J390" s="210">
        <v>0</v>
      </c>
      <c r="K390" s="209">
        <v>0</v>
      </c>
      <c r="L390" s="209">
        <v>-62564</v>
      </c>
      <c r="M390" s="209">
        <v>0</v>
      </c>
      <c r="N390" s="242">
        <v>0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-283240.71999999997</v>
      </c>
      <c r="H391" s="239"/>
      <c r="I391" s="239"/>
      <c r="J391" s="210">
        <v>-25874</v>
      </c>
      <c r="K391" s="209">
        <v>0</v>
      </c>
      <c r="L391" s="209">
        <v>-309114.71999999997</v>
      </c>
      <c r="M391" s="209">
        <v>103498.28</v>
      </c>
      <c r="N391" s="242">
        <v>77624.28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-199582.56</v>
      </c>
      <c r="H392" s="239"/>
      <c r="I392" s="239"/>
      <c r="J392" s="210">
        <v>-18143</v>
      </c>
      <c r="K392" s="209">
        <v>0</v>
      </c>
      <c r="L392" s="209">
        <v>-217725.56</v>
      </c>
      <c r="M392" s="209">
        <v>344716.3</v>
      </c>
      <c r="N392" s="242">
        <v>326573.3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-502508.89</v>
      </c>
      <c r="H393" s="239"/>
      <c r="I393" s="239"/>
      <c r="J393" s="210">
        <v>-45664</v>
      </c>
      <c r="K393" s="209">
        <v>0</v>
      </c>
      <c r="L393" s="209">
        <v>-548172.89</v>
      </c>
      <c r="M393" s="209">
        <v>182655.45</v>
      </c>
      <c r="N393" s="242">
        <v>136991.45000000001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-750445.89</v>
      </c>
      <c r="H394" s="239"/>
      <c r="I394" s="239"/>
      <c r="J394" s="210">
        <v>-68286</v>
      </c>
      <c r="K394" s="209">
        <v>0</v>
      </c>
      <c r="L394" s="209">
        <v>-818731.89</v>
      </c>
      <c r="M394" s="209">
        <v>273144.40999999997</v>
      </c>
      <c r="N394" s="242">
        <v>204858.41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-1361565.76</v>
      </c>
      <c r="H395" s="239"/>
      <c r="I395" s="239"/>
      <c r="J395" s="210">
        <v>-123869</v>
      </c>
      <c r="K395" s="209">
        <v>0</v>
      </c>
      <c r="L395" s="209">
        <v>-1485434.76</v>
      </c>
      <c r="M395" s="209">
        <v>495476.58</v>
      </c>
      <c r="N395" s="242">
        <v>371607.58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-479074.44</v>
      </c>
      <c r="H396" s="239"/>
      <c r="I396" s="239"/>
      <c r="J396" s="210">
        <v>-43554</v>
      </c>
      <c r="K396" s="209">
        <v>0</v>
      </c>
      <c r="L396" s="209">
        <v>-522628.44</v>
      </c>
      <c r="M396" s="209">
        <v>827524.56</v>
      </c>
      <c r="N396" s="242">
        <v>783970.56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-128100</v>
      </c>
      <c r="H400" s="239"/>
      <c r="I400" s="239"/>
      <c r="J400" s="210">
        <v>0</v>
      </c>
      <c r="K400" s="209">
        <v>0</v>
      </c>
      <c r="L400" s="209">
        <v>-128100</v>
      </c>
      <c r="M400" s="209">
        <v>0</v>
      </c>
      <c r="N400" s="242">
        <v>0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-60000</v>
      </c>
      <c r="H402" s="239"/>
      <c r="I402" s="239"/>
      <c r="J402" s="210">
        <v>0</v>
      </c>
      <c r="K402" s="209">
        <v>0</v>
      </c>
      <c r="L402" s="209">
        <v>-60000</v>
      </c>
      <c r="M402" s="209">
        <v>0</v>
      </c>
      <c r="N402" s="242">
        <v>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-46624</v>
      </c>
      <c r="H403" s="239"/>
      <c r="I403" s="239"/>
      <c r="J403" s="210">
        <v>0</v>
      </c>
      <c r="K403" s="209">
        <v>0</v>
      </c>
      <c r="L403" s="209">
        <v>-46624</v>
      </c>
      <c r="M403" s="209">
        <v>0</v>
      </c>
      <c r="N403" s="242">
        <v>0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-306238.37</v>
      </c>
      <c r="H406" s="239"/>
      <c r="I406" s="239"/>
      <c r="J406" s="210">
        <v>-28938</v>
      </c>
      <c r="K406" s="209">
        <v>0</v>
      </c>
      <c r="L406" s="209">
        <v>-335176.37</v>
      </c>
      <c r="M406" s="209">
        <v>272496.63</v>
      </c>
      <c r="N406" s="242">
        <v>243558.63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-534023.86</v>
      </c>
      <c r="H407" s="239"/>
      <c r="I407" s="239"/>
      <c r="J407" s="210">
        <v>-50862</v>
      </c>
      <c r="K407" s="209">
        <v>0</v>
      </c>
      <c r="L407" s="209">
        <v>-584885.86</v>
      </c>
      <c r="M407" s="209">
        <v>228876.14</v>
      </c>
      <c r="N407" s="242">
        <v>178014.14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-43000</v>
      </c>
      <c r="H415" s="239"/>
      <c r="I415" s="239"/>
      <c r="J415" s="210">
        <v>0</v>
      </c>
      <c r="K415" s="209">
        <v>0</v>
      </c>
      <c r="L415" s="209">
        <v>-43000</v>
      </c>
      <c r="M415" s="209">
        <v>0</v>
      </c>
      <c r="N415" s="242">
        <v>0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-96791.97</v>
      </c>
      <c r="H417" s="239"/>
      <c r="I417" s="239"/>
      <c r="J417" s="210">
        <v>-9366</v>
      </c>
      <c r="K417" s="209">
        <v>0</v>
      </c>
      <c r="L417" s="209">
        <v>-106157.97</v>
      </c>
      <c r="M417" s="209">
        <v>43708.03</v>
      </c>
      <c r="N417" s="242">
        <v>34342.03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-403532.49</v>
      </c>
      <c r="H418" s="239"/>
      <c r="I418" s="239"/>
      <c r="J418" s="210">
        <v>0</v>
      </c>
      <c r="K418" s="209">
        <v>0</v>
      </c>
      <c r="L418" s="209">
        <v>-403532.49</v>
      </c>
      <c r="M418" s="209">
        <v>0</v>
      </c>
      <c r="N418" s="242">
        <v>0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-103639.99</v>
      </c>
      <c r="H420" s="239"/>
      <c r="I420" s="239"/>
      <c r="J420" s="210">
        <v>-10032</v>
      </c>
      <c r="K420" s="209">
        <v>0</v>
      </c>
      <c r="L420" s="209">
        <v>-113671.99</v>
      </c>
      <c r="M420" s="209">
        <v>96968.01</v>
      </c>
      <c r="N420" s="242">
        <v>86936.01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-250000</v>
      </c>
      <c r="H423" s="239"/>
      <c r="I423" s="239"/>
      <c r="J423" s="210">
        <v>0</v>
      </c>
      <c r="K423" s="209">
        <v>0</v>
      </c>
      <c r="L423" s="209">
        <v>-250000</v>
      </c>
      <c r="M423" s="209">
        <v>0</v>
      </c>
      <c r="N423" s="242">
        <v>0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-205000</v>
      </c>
      <c r="H424" s="239"/>
      <c r="I424" s="239"/>
      <c r="J424" s="210">
        <v>0</v>
      </c>
      <c r="K424" s="209">
        <v>0</v>
      </c>
      <c r="L424" s="209">
        <v>-205000</v>
      </c>
      <c r="M424" s="209">
        <v>0</v>
      </c>
      <c r="N424" s="242">
        <v>0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-56474.5</v>
      </c>
      <c r="H426" s="239"/>
      <c r="I426" s="239"/>
      <c r="J426" s="210">
        <v>0</v>
      </c>
      <c r="K426" s="209">
        <v>0</v>
      </c>
      <c r="L426" s="209">
        <v>-56474.5</v>
      </c>
      <c r="M426" s="209">
        <v>0</v>
      </c>
      <c r="N426" s="242">
        <v>0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-123752.3</v>
      </c>
      <c r="H427" s="239"/>
      <c r="I427" s="239"/>
      <c r="J427" s="210">
        <v>-12272</v>
      </c>
      <c r="K427" s="209">
        <v>0</v>
      </c>
      <c r="L427" s="209">
        <v>-136024.29999999999</v>
      </c>
      <c r="M427" s="209">
        <v>60334.7</v>
      </c>
      <c r="N427" s="242">
        <v>48062.7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-82085</v>
      </c>
      <c r="H428" s="239"/>
      <c r="I428" s="239"/>
      <c r="J428" s="210">
        <v>0</v>
      </c>
      <c r="K428" s="209">
        <v>0</v>
      </c>
      <c r="L428" s="209">
        <v>-82085</v>
      </c>
      <c r="M428" s="209">
        <v>0</v>
      </c>
      <c r="N428" s="242">
        <v>0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-30500</v>
      </c>
      <c r="H429" s="239"/>
      <c r="I429" s="239"/>
      <c r="J429" s="210">
        <v>0</v>
      </c>
      <c r="K429" s="209">
        <v>0</v>
      </c>
      <c r="L429" s="209">
        <v>-30500</v>
      </c>
      <c r="M429" s="209">
        <v>0</v>
      </c>
      <c r="N429" s="242">
        <v>0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-110000</v>
      </c>
      <c r="H430" s="239"/>
      <c r="I430" s="239"/>
      <c r="J430" s="210">
        <v>0</v>
      </c>
      <c r="K430" s="209">
        <v>0</v>
      </c>
      <c r="L430" s="209">
        <v>-110000</v>
      </c>
      <c r="M430" s="209">
        <v>0</v>
      </c>
      <c r="N430" s="242">
        <v>0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-46500</v>
      </c>
      <c r="H431" s="239"/>
      <c r="I431" s="239"/>
      <c r="J431" s="210">
        <v>0</v>
      </c>
      <c r="K431" s="209">
        <v>0</v>
      </c>
      <c r="L431" s="209">
        <v>-46500</v>
      </c>
      <c r="M431" s="209">
        <v>0</v>
      </c>
      <c r="N431" s="242">
        <v>0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-150488.93</v>
      </c>
      <c r="H432" s="239"/>
      <c r="I432" s="239"/>
      <c r="J432" s="210">
        <v>-7.0000000000000007E-2</v>
      </c>
      <c r="K432" s="209">
        <v>0</v>
      </c>
      <c r="L432" s="209">
        <v>-150489</v>
      </c>
      <c r="M432" s="209">
        <v>7.0000000000000007E-2</v>
      </c>
      <c r="N432" s="242">
        <v>0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-483009.51</v>
      </c>
      <c r="H433" s="239"/>
      <c r="I433" s="239"/>
      <c r="J433" s="210">
        <v>-48301</v>
      </c>
      <c r="K433" s="209">
        <v>0</v>
      </c>
      <c r="L433" s="209">
        <v>-531310.51</v>
      </c>
      <c r="M433" s="209">
        <v>241506.49</v>
      </c>
      <c r="N433" s="242">
        <v>193205.49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-200056.15</v>
      </c>
      <c r="H435" s="239"/>
      <c r="I435" s="239"/>
      <c r="J435" s="210">
        <v>-20006</v>
      </c>
      <c r="K435" s="209">
        <v>0</v>
      </c>
      <c r="L435" s="209">
        <v>-220062.15</v>
      </c>
      <c r="M435" s="209">
        <v>100031.85</v>
      </c>
      <c r="N435" s="242">
        <v>80025.850000000006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-44330.26</v>
      </c>
      <c r="H436" s="239"/>
      <c r="I436" s="239"/>
      <c r="J436" s="210">
        <v>-4434</v>
      </c>
      <c r="K436" s="209">
        <v>0</v>
      </c>
      <c r="L436" s="209">
        <v>-48764.26</v>
      </c>
      <c r="M436" s="209">
        <v>22169.74</v>
      </c>
      <c r="N436" s="242">
        <v>17735.740000000002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-44330.26</v>
      </c>
      <c r="H437" s="239"/>
      <c r="I437" s="239"/>
      <c r="J437" s="210">
        <v>-4434</v>
      </c>
      <c r="K437" s="209">
        <v>0</v>
      </c>
      <c r="L437" s="209">
        <v>-48764.26</v>
      </c>
      <c r="M437" s="209">
        <v>22169.74</v>
      </c>
      <c r="N437" s="242">
        <v>17735.740000000002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-44330.26</v>
      </c>
      <c r="H438" s="239"/>
      <c r="I438" s="239"/>
      <c r="J438" s="210">
        <v>-4434</v>
      </c>
      <c r="K438" s="209">
        <v>0</v>
      </c>
      <c r="L438" s="209">
        <v>-48764.26</v>
      </c>
      <c r="M438" s="209">
        <v>22169.74</v>
      </c>
      <c r="N438" s="242">
        <v>17735.740000000002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-44330.26</v>
      </c>
      <c r="H439" s="239"/>
      <c r="I439" s="239"/>
      <c r="J439" s="210">
        <v>-4434</v>
      </c>
      <c r="K439" s="209">
        <v>0</v>
      </c>
      <c r="L439" s="209">
        <v>-48764.26</v>
      </c>
      <c r="M439" s="209">
        <v>22169.74</v>
      </c>
      <c r="N439" s="242">
        <v>17735.740000000002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-44330.26</v>
      </c>
      <c r="H440" s="239"/>
      <c r="I440" s="239"/>
      <c r="J440" s="210">
        <v>-4434</v>
      </c>
      <c r="K440" s="209">
        <v>0</v>
      </c>
      <c r="L440" s="209">
        <v>-48764.26</v>
      </c>
      <c r="M440" s="209">
        <v>22169.74</v>
      </c>
      <c r="N440" s="242">
        <v>17735.740000000002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-44330.26</v>
      </c>
      <c r="H441" s="239"/>
      <c r="I441" s="239"/>
      <c r="J441" s="210">
        <v>-4434</v>
      </c>
      <c r="K441" s="209">
        <v>0</v>
      </c>
      <c r="L441" s="209">
        <v>-48764.26</v>
      </c>
      <c r="M441" s="209">
        <v>22169.74</v>
      </c>
      <c r="N441" s="242">
        <v>17735.740000000002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-44330.26</v>
      </c>
      <c r="H442" s="239"/>
      <c r="I442" s="239"/>
      <c r="J442" s="210">
        <v>-4434</v>
      </c>
      <c r="K442" s="209">
        <v>0</v>
      </c>
      <c r="L442" s="209">
        <v>-48764.26</v>
      </c>
      <c r="M442" s="209">
        <v>22169.74</v>
      </c>
      <c r="N442" s="242">
        <v>17735.740000000002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-44330.26</v>
      </c>
      <c r="H443" s="239"/>
      <c r="I443" s="239"/>
      <c r="J443" s="210">
        <v>-4434</v>
      </c>
      <c r="K443" s="209">
        <v>0</v>
      </c>
      <c r="L443" s="209">
        <v>-48764.26</v>
      </c>
      <c r="M443" s="209">
        <v>22169.74</v>
      </c>
      <c r="N443" s="242">
        <v>17735.740000000002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-210168.55</v>
      </c>
      <c r="H444" s="239"/>
      <c r="I444" s="239"/>
      <c r="J444" s="210">
        <v>-21018</v>
      </c>
      <c r="K444" s="209">
        <v>0</v>
      </c>
      <c r="L444" s="209">
        <v>-231186.55</v>
      </c>
      <c r="M444" s="209">
        <v>210180.45</v>
      </c>
      <c r="N444" s="242">
        <v>189162.45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-68000</v>
      </c>
      <c r="H447" s="239"/>
      <c r="I447" s="239"/>
      <c r="J447" s="210">
        <v>0</v>
      </c>
      <c r="K447" s="209">
        <v>0</v>
      </c>
      <c r="L447" s="209">
        <v>-68000</v>
      </c>
      <c r="M447" s="209">
        <v>0</v>
      </c>
      <c r="N447" s="242">
        <v>0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-173640.46</v>
      </c>
      <c r="H450" s="239"/>
      <c r="I450" s="239"/>
      <c r="J450" s="210">
        <v>-1459.54</v>
      </c>
      <c r="K450" s="209">
        <v>0</v>
      </c>
      <c r="L450" s="209">
        <v>-175100</v>
      </c>
      <c r="M450" s="209">
        <v>1459.54</v>
      </c>
      <c r="N450" s="242">
        <v>0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-69699.600000000006</v>
      </c>
      <c r="H465" s="239"/>
      <c r="I465" s="239"/>
      <c r="J465" s="210">
        <v>-5650.4</v>
      </c>
      <c r="K465" s="209">
        <v>0</v>
      </c>
      <c r="L465" s="209">
        <v>-75350</v>
      </c>
      <c r="M465" s="209">
        <v>5650.4</v>
      </c>
      <c r="N465" s="242">
        <v>0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-69699.600000000006</v>
      </c>
      <c r="H466" s="239"/>
      <c r="I466" s="239"/>
      <c r="J466" s="210">
        <v>-5650.4</v>
      </c>
      <c r="K466" s="209">
        <v>0</v>
      </c>
      <c r="L466" s="209">
        <v>-75350</v>
      </c>
      <c r="M466" s="209">
        <v>5650.4</v>
      </c>
      <c r="N466" s="242">
        <v>0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-69699.600000000006</v>
      </c>
      <c r="H467" s="239"/>
      <c r="I467" s="239"/>
      <c r="J467" s="210">
        <v>-5650.4</v>
      </c>
      <c r="K467" s="209">
        <v>0</v>
      </c>
      <c r="L467" s="209">
        <v>-75350</v>
      </c>
      <c r="M467" s="209">
        <v>5650.4</v>
      </c>
      <c r="N467" s="242">
        <v>0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-69699.600000000006</v>
      </c>
      <c r="H468" s="239"/>
      <c r="I468" s="239"/>
      <c r="J468" s="210">
        <v>-5650.4</v>
      </c>
      <c r="K468" s="209">
        <v>0</v>
      </c>
      <c r="L468" s="209">
        <v>-75350</v>
      </c>
      <c r="M468" s="209">
        <v>5650.4</v>
      </c>
      <c r="N468" s="242">
        <v>0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-70654.75</v>
      </c>
      <c r="H469" s="239"/>
      <c r="I469" s="239"/>
      <c r="J469" s="210">
        <v>-5728.25</v>
      </c>
      <c r="K469" s="209">
        <v>0</v>
      </c>
      <c r="L469" s="209">
        <v>-76383</v>
      </c>
      <c r="M469" s="209">
        <v>5728.25</v>
      </c>
      <c r="N469" s="242">
        <v>0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-70654.75</v>
      </c>
      <c r="H470" s="239"/>
      <c r="I470" s="239"/>
      <c r="J470" s="210">
        <v>-5728.25</v>
      </c>
      <c r="K470" s="209">
        <v>0</v>
      </c>
      <c r="L470" s="209">
        <v>-76383</v>
      </c>
      <c r="M470" s="209">
        <v>5728.25</v>
      </c>
      <c r="N470" s="242">
        <v>0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-70654.75</v>
      </c>
      <c r="H471" s="239"/>
      <c r="I471" s="239"/>
      <c r="J471" s="210">
        <v>-5728.25</v>
      </c>
      <c r="K471" s="209">
        <v>0</v>
      </c>
      <c r="L471" s="209">
        <v>-76383</v>
      </c>
      <c r="M471" s="209">
        <v>5728.25</v>
      </c>
      <c r="N471" s="242">
        <v>0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-31003.75</v>
      </c>
      <c r="H473" s="239"/>
      <c r="I473" s="239"/>
      <c r="J473" s="210">
        <v>-2515.25</v>
      </c>
      <c r="K473" s="209">
        <v>0</v>
      </c>
      <c r="L473" s="209">
        <v>-33519</v>
      </c>
      <c r="M473" s="209">
        <v>2515.25</v>
      </c>
      <c r="N473" s="242">
        <v>0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-123035.29</v>
      </c>
      <c r="H483" s="239"/>
      <c r="I483" s="239"/>
      <c r="J483" s="210">
        <v>-13673</v>
      </c>
      <c r="K483" s="209">
        <v>0</v>
      </c>
      <c r="L483" s="209">
        <v>-136708.29</v>
      </c>
      <c r="M483" s="209">
        <v>82032.710000000006</v>
      </c>
      <c r="N483" s="242">
        <v>68359.710000000006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-47547.29</v>
      </c>
      <c r="H484" s="239"/>
      <c r="I484" s="239"/>
      <c r="J484" s="210">
        <v>-5284.71</v>
      </c>
      <c r="K484" s="209">
        <v>0</v>
      </c>
      <c r="L484" s="209">
        <v>-52832</v>
      </c>
      <c r="M484" s="209">
        <v>5284.71</v>
      </c>
      <c r="N484" s="242">
        <v>0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-37540.089999999997</v>
      </c>
      <c r="H485" s="239"/>
      <c r="I485" s="239"/>
      <c r="J485" s="210">
        <v>-4170</v>
      </c>
      <c r="K485" s="209">
        <v>0</v>
      </c>
      <c r="L485" s="209">
        <v>-41710.089999999997</v>
      </c>
      <c r="M485" s="209">
        <v>25019.91</v>
      </c>
      <c r="N485" s="242">
        <v>20849.91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-37540.089999999997</v>
      </c>
      <c r="H486" s="239"/>
      <c r="I486" s="239"/>
      <c r="J486" s="210">
        <v>-4170</v>
      </c>
      <c r="K486" s="209">
        <v>0</v>
      </c>
      <c r="L486" s="209">
        <v>-41710.089999999997</v>
      </c>
      <c r="M486" s="209">
        <v>25019.91</v>
      </c>
      <c r="N486" s="242">
        <v>20849.91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-37540.089999999997</v>
      </c>
      <c r="H487" s="239"/>
      <c r="I487" s="239"/>
      <c r="J487" s="210">
        <v>-4170</v>
      </c>
      <c r="K487" s="209">
        <v>0</v>
      </c>
      <c r="L487" s="209">
        <v>-41710.089999999997</v>
      </c>
      <c r="M487" s="209">
        <v>25019.91</v>
      </c>
      <c r="N487" s="242">
        <v>20849.91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-37540.089999999997</v>
      </c>
      <c r="H488" s="239"/>
      <c r="I488" s="239"/>
      <c r="J488" s="210">
        <v>-4170</v>
      </c>
      <c r="K488" s="209">
        <v>0</v>
      </c>
      <c r="L488" s="209">
        <v>-41710.089999999997</v>
      </c>
      <c r="M488" s="209">
        <v>25019.91</v>
      </c>
      <c r="N488" s="242">
        <v>20849.91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-37540.089999999997</v>
      </c>
      <c r="H489" s="239"/>
      <c r="I489" s="239"/>
      <c r="J489" s="210">
        <v>-4170</v>
      </c>
      <c r="K489" s="209">
        <v>0</v>
      </c>
      <c r="L489" s="209">
        <v>-41710.089999999997</v>
      </c>
      <c r="M489" s="209">
        <v>25019.91</v>
      </c>
      <c r="N489" s="242">
        <v>20849.91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-37540.089999999997</v>
      </c>
      <c r="H490" s="239"/>
      <c r="I490" s="239"/>
      <c r="J490" s="210">
        <v>-4170</v>
      </c>
      <c r="K490" s="209">
        <v>0</v>
      </c>
      <c r="L490" s="209">
        <v>-41710.089999999997</v>
      </c>
      <c r="M490" s="209">
        <v>25019.91</v>
      </c>
      <c r="N490" s="242">
        <v>20849.91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-37540.089999999997</v>
      </c>
      <c r="H491" s="239"/>
      <c r="I491" s="239"/>
      <c r="J491" s="210">
        <v>-4170</v>
      </c>
      <c r="K491" s="209">
        <v>0</v>
      </c>
      <c r="L491" s="209">
        <v>-41710.089999999997</v>
      </c>
      <c r="M491" s="209">
        <v>25019.91</v>
      </c>
      <c r="N491" s="242">
        <v>20849.91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-37540.089999999997</v>
      </c>
      <c r="H492" s="239"/>
      <c r="I492" s="239"/>
      <c r="J492" s="210">
        <v>-4170</v>
      </c>
      <c r="K492" s="209">
        <v>0</v>
      </c>
      <c r="L492" s="209">
        <v>-41710.089999999997</v>
      </c>
      <c r="M492" s="209">
        <v>25019.91</v>
      </c>
      <c r="N492" s="242">
        <v>20849.91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-37540.089999999997</v>
      </c>
      <c r="H493" s="239"/>
      <c r="I493" s="239"/>
      <c r="J493" s="210">
        <v>-4170</v>
      </c>
      <c r="K493" s="209">
        <v>0</v>
      </c>
      <c r="L493" s="209">
        <v>-41710.089999999997</v>
      </c>
      <c r="M493" s="209">
        <v>25019.91</v>
      </c>
      <c r="N493" s="242">
        <v>20849.91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-37540.089999999997</v>
      </c>
      <c r="H494" s="239"/>
      <c r="I494" s="239"/>
      <c r="J494" s="210">
        <v>-4170</v>
      </c>
      <c r="K494" s="209">
        <v>0</v>
      </c>
      <c r="L494" s="209">
        <v>-41710.089999999997</v>
      </c>
      <c r="M494" s="209">
        <v>25019.91</v>
      </c>
      <c r="N494" s="242">
        <v>20849.91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-37540.089999999997</v>
      </c>
      <c r="H495" s="239"/>
      <c r="I495" s="239"/>
      <c r="J495" s="210">
        <v>-4170</v>
      </c>
      <c r="K495" s="209">
        <v>0</v>
      </c>
      <c r="L495" s="209">
        <v>-41710.089999999997</v>
      </c>
      <c r="M495" s="209">
        <v>25019.91</v>
      </c>
      <c r="N495" s="242">
        <v>20849.91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-37540.089999999997</v>
      </c>
      <c r="H496" s="239"/>
      <c r="I496" s="239"/>
      <c r="J496" s="210">
        <v>-4170</v>
      </c>
      <c r="K496" s="209">
        <v>0</v>
      </c>
      <c r="L496" s="209">
        <v>-41710.089999999997</v>
      </c>
      <c r="M496" s="209">
        <v>25019.91</v>
      </c>
      <c r="N496" s="242">
        <v>20849.91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-37540.089999999997</v>
      </c>
      <c r="H497" s="239"/>
      <c r="I497" s="239"/>
      <c r="J497" s="210">
        <v>-4170</v>
      </c>
      <c r="K497" s="209">
        <v>0</v>
      </c>
      <c r="L497" s="209">
        <v>-41710.089999999997</v>
      </c>
      <c r="M497" s="209">
        <v>25019.91</v>
      </c>
      <c r="N497" s="242">
        <v>20849.91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-37540.089999999997</v>
      </c>
      <c r="H498" s="239"/>
      <c r="I498" s="239"/>
      <c r="J498" s="210">
        <v>-4170</v>
      </c>
      <c r="K498" s="209">
        <v>0</v>
      </c>
      <c r="L498" s="209">
        <v>-41710.089999999997</v>
      </c>
      <c r="M498" s="209">
        <v>25019.91</v>
      </c>
      <c r="N498" s="242">
        <v>20849.91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-152360</v>
      </c>
      <c r="H500" s="239"/>
      <c r="I500" s="239"/>
      <c r="J500" s="210">
        <v>-17580</v>
      </c>
      <c r="K500" s="209">
        <v>0</v>
      </c>
      <c r="L500" s="209">
        <v>-169940</v>
      </c>
      <c r="M500" s="209">
        <v>23440</v>
      </c>
      <c r="N500" s="242">
        <v>5860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-335348.96000000002</v>
      </c>
      <c r="H502" s="239"/>
      <c r="I502" s="239"/>
      <c r="J502" s="210">
        <v>-39090</v>
      </c>
      <c r="K502" s="209">
        <v>0</v>
      </c>
      <c r="L502" s="209">
        <v>-374438.96</v>
      </c>
      <c r="M502" s="209">
        <v>250827.85</v>
      </c>
      <c r="N502" s="242">
        <v>211737.85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-205358.45</v>
      </c>
      <c r="H503" s="239"/>
      <c r="I503" s="239"/>
      <c r="J503" s="210">
        <v>-18120</v>
      </c>
      <c r="K503" s="209">
        <v>0</v>
      </c>
      <c r="L503" s="209">
        <v>-223478.45</v>
      </c>
      <c r="M503" s="209">
        <v>66439.77</v>
      </c>
      <c r="N503" s="242">
        <v>48319.77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-73026.8</v>
      </c>
      <c r="H504" s="239"/>
      <c r="I504" s="239"/>
      <c r="J504" s="210">
        <v>-8677</v>
      </c>
      <c r="K504" s="209">
        <v>0</v>
      </c>
      <c r="L504" s="209">
        <v>-81703.8</v>
      </c>
      <c r="M504" s="209">
        <v>13738.05</v>
      </c>
      <c r="N504" s="242">
        <v>5061.05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-833330.28</v>
      </c>
      <c r="H505" s="239"/>
      <c r="I505" s="239"/>
      <c r="J505" s="210">
        <v>-100002</v>
      </c>
      <c r="K505" s="209">
        <v>0</v>
      </c>
      <c r="L505" s="209">
        <v>-933332.28</v>
      </c>
      <c r="M505" s="209">
        <v>166669.72</v>
      </c>
      <c r="N505" s="242">
        <v>66667.72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-216197.43</v>
      </c>
      <c r="H507" s="239"/>
      <c r="I507" s="239"/>
      <c r="J507" s="210">
        <v>-25943</v>
      </c>
      <c r="K507" s="209">
        <v>0</v>
      </c>
      <c r="L507" s="209">
        <v>-242140.43</v>
      </c>
      <c r="M507" s="209">
        <v>43238.57</v>
      </c>
      <c r="N507" s="242">
        <v>17295.57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-190543.55</v>
      </c>
      <c r="H509" s="239"/>
      <c r="I509" s="239"/>
      <c r="J509" s="210">
        <v>-22866</v>
      </c>
      <c r="K509" s="209">
        <v>0</v>
      </c>
      <c r="L509" s="209">
        <v>-213409.55</v>
      </c>
      <c r="M509" s="209">
        <v>38110.449999999997</v>
      </c>
      <c r="N509" s="242">
        <v>15244.45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-216669.72</v>
      </c>
      <c r="H510" s="239"/>
      <c r="I510" s="239"/>
      <c r="J510" s="210">
        <v>-25998</v>
      </c>
      <c r="K510" s="209">
        <v>0</v>
      </c>
      <c r="L510" s="209">
        <v>-242667.72</v>
      </c>
      <c r="M510" s="209">
        <v>43330.28</v>
      </c>
      <c r="N510" s="242">
        <v>17332.28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-116188.86</v>
      </c>
      <c r="H513" s="239"/>
      <c r="I513" s="239"/>
      <c r="J513" s="210">
        <v>-14226</v>
      </c>
      <c r="K513" s="209">
        <v>0</v>
      </c>
      <c r="L513" s="209">
        <v>-130414.86</v>
      </c>
      <c r="M513" s="209">
        <v>26080.79</v>
      </c>
      <c r="N513" s="242">
        <v>11854.79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-18629.39</v>
      </c>
      <c r="H514" s="239"/>
      <c r="I514" s="239"/>
      <c r="J514" s="210">
        <v>-2286</v>
      </c>
      <c r="K514" s="209">
        <v>0</v>
      </c>
      <c r="L514" s="209">
        <v>-20915.39</v>
      </c>
      <c r="M514" s="209">
        <v>4191.3599999999997</v>
      </c>
      <c r="N514" s="242">
        <v>1905.36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-22881.38</v>
      </c>
      <c r="H515" s="239"/>
      <c r="I515" s="239"/>
      <c r="J515" s="210">
        <v>-2809</v>
      </c>
      <c r="K515" s="209">
        <v>0</v>
      </c>
      <c r="L515" s="209">
        <v>-25690.38</v>
      </c>
      <c r="M515" s="209">
        <v>5149.28</v>
      </c>
      <c r="N515" s="242">
        <v>2340.2800000000002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-37251.65</v>
      </c>
      <c r="H516" s="239"/>
      <c r="I516" s="239"/>
      <c r="J516" s="210">
        <v>-4576</v>
      </c>
      <c r="K516" s="209">
        <v>0</v>
      </c>
      <c r="L516" s="209">
        <v>-41827.65</v>
      </c>
      <c r="M516" s="209">
        <v>8389.7099999999991</v>
      </c>
      <c r="N516" s="242">
        <v>3813.71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-36201.480000000003</v>
      </c>
      <c r="H517" s="239"/>
      <c r="I517" s="239"/>
      <c r="J517" s="210">
        <v>-4434</v>
      </c>
      <c r="K517" s="209">
        <v>0</v>
      </c>
      <c r="L517" s="209">
        <v>-40635.480000000003</v>
      </c>
      <c r="M517" s="209">
        <v>30298.52</v>
      </c>
      <c r="N517" s="242">
        <v>25864.52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-36201.480000000003</v>
      </c>
      <c r="H518" s="239"/>
      <c r="I518" s="239"/>
      <c r="J518" s="210">
        <v>-4434</v>
      </c>
      <c r="K518" s="209">
        <v>0</v>
      </c>
      <c r="L518" s="209">
        <v>-40635.480000000003</v>
      </c>
      <c r="M518" s="209">
        <v>30298.52</v>
      </c>
      <c r="N518" s="242">
        <v>25864.52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-36201.480000000003</v>
      </c>
      <c r="H519" s="239"/>
      <c r="I519" s="239"/>
      <c r="J519" s="210">
        <v>-4434</v>
      </c>
      <c r="K519" s="209">
        <v>0</v>
      </c>
      <c r="L519" s="209">
        <v>-40635.480000000003</v>
      </c>
      <c r="M519" s="209">
        <v>30298.52</v>
      </c>
      <c r="N519" s="242">
        <v>25864.52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-36201.480000000003</v>
      </c>
      <c r="H520" s="239"/>
      <c r="I520" s="239"/>
      <c r="J520" s="210">
        <v>-4434</v>
      </c>
      <c r="K520" s="209">
        <v>0</v>
      </c>
      <c r="L520" s="209">
        <v>-40635.480000000003</v>
      </c>
      <c r="M520" s="209">
        <v>30298.52</v>
      </c>
      <c r="N520" s="242">
        <v>25864.52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-36201.480000000003</v>
      </c>
      <c r="H521" s="239"/>
      <c r="I521" s="239"/>
      <c r="J521" s="210">
        <v>-4434</v>
      </c>
      <c r="K521" s="209">
        <v>0</v>
      </c>
      <c r="L521" s="209">
        <v>-40635.480000000003</v>
      </c>
      <c r="M521" s="209">
        <v>30298.52</v>
      </c>
      <c r="N521" s="242">
        <v>25864.52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-173141.39</v>
      </c>
      <c r="H522" s="239"/>
      <c r="I522" s="239"/>
      <c r="J522" s="210">
        <v>-21199</v>
      </c>
      <c r="K522" s="209">
        <v>0</v>
      </c>
      <c r="L522" s="209">
        <v>-194340.39</v>
      </c>
      <c r="M522" s="209">
        <v>250858.61</v>
      </c>
      <c r="N522" s="242">
        <v>229659.61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-36918.959999999999</v>
      </c>
      <c r="H523" s="239"/>
      <c r="I523" s="239"/>
      <c r="J523" s="210">
        <v>-4566</v>
      </c>
      <c r="K523" s="209">
        <v>0</v>
      </c>
      <c r="L523" s="209">
        <v>-41484.959999999999</v>
      </c>
      <c r="M523" s="209">
        <v>31581.040000000001</v>
      </c>
      <c r="N523" s="242">
        <v>27015.040000000001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-36918.959999999999</v>
      </c>
      <c r="H524" s="239"/>
      <c r="I524" s="239"/>
      <c r="J524" s="210">
        <v>-4566</v>
      </c>
      <c r="K524" s="209">
        <v>0</v>
      </c>
      <c r="L524" s="209">
        <v>-41484.959999999999</v>
      </c>
      <c r="M524" s="209">
        <v>31581.040000000001</v>
      </c>
      <c r="N524" s="242">
        <v>27015.040000000001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-36918.959999999999</v>
      </c>
      <c r="H525" s="239"/>
      <c r="I525" s="239"/>
      <c r="J525" s="210">
        <v>-4566</v>
      </c>
      <c r="K525" s="209">
        <v>0</v>
      </c>
      <c r="L525" s="209">
        <v>-41484.959999999999</v>
      </c>
      <c r="M525" s="209">
        <v>31581.040000000001</v>
      </c>
      <c r="N525" s="242">
        <v>27015.040000000001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-36918.959999999999</v>
      </c>
      <c r="H526" s="239"/>
      <c r="I526" s="239"/>
      <c r="J526" s="210">
        <v>-4566</v>
      </c>
      <c r="K526" s="209">
        <v>0</v>
      </c>
      <c r="L526" s="209">
        <v>-41484.959999999999</v>
      </c>
      <c r="M526" s="209">
        <v>31581.040000000001</v>
      </c>
      <c r="N526" s="242">
        <v>27015.040000000001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-36918.959999999999</v>
      </c>
      <c r="H527" s="239"/>
      <c r="I527" s="239"/>
      <c r="J527" s="210">
        <v>-4566</v>
      </c>
      <c r="K527" s="209">
        <v>0</v>
      </c>
      <c r="L527" s="209">
        <v>-41484.959999999999</v>
      </c>
      <c r="M527" s="209">
        <v>31581.040000000001</v>
      </c>
      <c r="N527" s="242">
        <v>27015.040000000001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-36918.959999999999</v>
      </c>
      <c r="H528" s="239"/>
      <c r="I528" s="239"/>
      <c r="J528" s="210">
        <v>-4566</v>
      </c>
      <c r="K528" s="209">
        <v>0</v>
      </c>
      <c r="L528" s="209">
        <v>-41484.959999999999</v>
      </c>
      <c r="M528" s="209">
        <v>31581.040000000001</v>
      </c>
      <c r="N528" s="242">
        <v>27015.040000000001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-36918.959999999999</v>
      </c>
      <c r="H529" s="239"/>
      <c r="I529" s="239"/>
      <c r="J529" s="210">
        <v>-4566</v>
      </c>
      <c r="K529" s="209">
        <v>0</v>
      </c>
      <c r="L529" s="209">
        <v>-41484.959999999999</v>
      </c>
      <c r="M529" s="209">
        <v>31581.040000000001</v>
      </c>
      <c r="N529" s="242">
        <v>27015.040000000001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-36918.959999999999</v>
      </c>
      <c r="H530" s="239"/>
      <c r="I530" s="239"/>
      <c r="J530" s="210">
        <v>-4566</v>
      </c>
      <c r="K530" s="209">
        <v>0</v>
      </c>
      <c r="L530" s="209">
        <v>-41484.959999999999</v>
      </c>
      <c r="M530" s="209">
        <v>31581.040000000001</v>
      </c>
      <c r="N530" s="242">
        <v>27015.040000000001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-36918.959999999999</v>
      </c>
      <c r="H531" s="239"/>
      <c r="I531" s="239"/>
      <c r="J531" s="210">
        <v>-4566</v>
      </c>
      <c r="K531" s="209">
        <v>0</v>
      </c>
      <c r="L531" s="209">
        <v>-41484.959999999999</v>
      </c>
      <c r="M531" s="209">
        <v>31581.040000000001</v>
      </c>
      <c r="N531" s="242">
        <v>27015.040000000001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-36918.959999999999</v>
      </c>
      <c r="H532" s="239"/>
      <c r="I532" s="239"/>
      <c r="J532" s="210">
        <v>-4566</v>
      </c>
      <c r="K532" s="209">
        <v>0</v>
      </c>
      <c r="L532" s="209">
        <v>-41484.959999999999</v>
      </c>
      <c r="M532" s="209">
        <v>31581.040000000001</v>
      </c>
      <c r="N532" s="242">
        <v>27015.040000000001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-33200</v>
      </c>
      <c r="H534" s="239"/>
      <c r="I534" s="239"/>
      <c r="J534" s="210">
        <v>0</v>
      </c>
      <c r="K534" s="209">
        <v>0</v>
      </c>
      <c r="L534" s="209">
        <v>-33200</v>
      </c>
      <c r="M534" s="209">
        <v>0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-315875</v>
      </c>
      <c r="H535" s="239"/>
      <c r="I535" s="239"/>
      <c r="J535" s="210">
        <v>-39900</v>
      </c>
      <c r="K535" s="209">
        <v>0</v>
      </c>
      <c r="L535" s="209">
        <v>-355775</v>
      </c>
      <c r="M535" s="209">
        <v>83125</v>
      </c>
      <c r="N535" s="242">
        <v>43225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-25275</v>
      </c>
      <c r="H536" s="239"/>
      <c r="I536" s="239"/>
      <c r="J536" s="210">
        <v>0</v>
      </c>
      <c r="K536" s="209">
        <v>0</v>
      </c>
      <c r="L536" s="209">
        <v>-25275</v>
      </c>
      <c r="M536" s="209">
        <v>0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-78161</v>
      </c>
      <c r="H537" s="239"/>
      <c r="I537" s="239"/>
      <c r="J537" s="210">
        <v>0</v>
      </c>
      <c r="K537" s="209">
        <v>0</v>
      </c>
      <c r="L537" s="209">
        <v>-78161</v>
      </c>
      <c r="M537" s="209">
        <v>0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-78500</v>
      </c>
      <c r="H538" s="239"/>
      <c r="I538" s="239"/>
      <c r="J538" s="210">
        <v>0</v>
      </c>
      <c r="K538" s="209">
        <v>0</v>
      </c>
      <c r="L538" s="209">
        <v>-78500</v>
      </c>
      <c r="M538" s="209">
        <v>0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-119978.99</v>
      </c>
      <c r="H539" s="239"/>
      <c r="I539" s="239"/>
      <c r="J539" s="210">
        <v>-15997</v>
      </c>
      <c r="K539" s="209">
        <v>0</v>
      </c>
      <c r="L539" s="209">
        <v>-135975.99</v>
      </c>
      <c r="M539" s="209">
        <v>39994.21</v>
      </c>
      <c r="N539" s="242">
        <v>23997.21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-34122.53</v>
      </c>
      <c r="H540" s="239"/>
      <c r="I540" s="239"/>
      <c r="J540" s="210">
        <v>-4551</v>
      </c>
      <c r="K540" s="209">
        <v>0</v>
      </c>
      <c r="L540" s="209">
        <v>-38673.53</v>
      </c>
      <c r="M540" s="209">
        <v>11377.47</v>
      </c>
      <c r="N540" s="242">
        <v>6826.47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-56404.03</v>
      </c>
      <c r="H541" s="239"/>
      <c r="I541" s="239"/>
      <c r="J541" s="210">
        <v>-7518</v>
      </c>
      <c r="K541" s="209">
        <v>0</v>
      </c>
      <c r="L541" s="209">
        <v>-63922.03</v>
      </c>
      <c r="M541" s="209">
        <v>18795.97</v>
      </c>
      <c r="N541" s="242">
        <v>11277.97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-71100</v>
      </c>
      <c r="H542" s="239"/>
      <c r="I542" s="239"/>
      <c r="J542" s="210">
        <v>0</v>
      </c>
      <c r="K542" s="209">
        <v>0</v>
      </c>
      <c r="L542" s="209">
        <v>-71100</v>
      </c>
      <c r="M542" s="209">
        <v>0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-35550</v>
      </c>
      <c r="H543" s="239"/>
      <c r="I543" s="239"/>
      <c r="J543" s="210">
        <v>0</v>
      </c>
      <c r="K543" s="209">
        <v>0</v>
      </c>
      <c r="L543" s="209">
        <v>-35550</v>
      </c>
      <c r="M543" s="209">
        <v>0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-35550</v>
      </c>
      <c r="H544" s="239"/>
      <c r="I544" s="239"/>
      <c r="J544" s="210">
        <v>0</v>
      </c>
      <c r="K544" s="209">
        <v>0</v>
      </c>
      <c r="L544" s="209">
        <v>-35550</v>
      </c>
      <c r="M544" s="209">
        <v>0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-41400</v>
      </c>
      <c r="H545" s="239"/>
      <c r="I545" s="239"/>
      <c r="J545" s="210">
        <v>0</v>
      </c>
      <c r="K545" s="209">
        <v>0</v>
      </c>
      <c r="L545" s="209">
        <v>-41400</v>
      </c>
      <c r="M545" s="209">
        <v>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-174447</v>
      </c>
      <c r="H546" s="239"/>
      <c r="I546" s="239"/>
      <c r="J546" s="210">
        <v>0</v>
      </c>
      <c r="K546" s="209">
        <v>0</v>
      </c>
      <c r="L546" s="209">
        <v>-174447</v>
      </c>
      <c r="M546" s="209">
        <v>0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-189600</v>
      </c>
      <c r="H586" s="239"/>
      <c r="I586" s="239"/>
      <c r="J586" s="210">
        <v>0</v>
      </c>
      <c r="K586" s="209">
        <v>0</v>
      </c>
      <c r="L586" s="209">
        <v>-189600</v>
      </c>
      <c r="M586" s="209">
        <v>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-542510.68999999994</v>
      </c>
      <c r="H587" s="239"/>
      <c r="I587" s="239"/>
      <c r="J587" s="210">
        <v>0</v>
      </c>
      <c r="K587" s="209">
        <v>0</v>
      </c>
      <c r="L587" s="209">
        <v>-542510.68999999994</v>
      </c>
      <c r="M587" s="209">
        <v>0</v>
      </c>
      <c r="N587" s="242">
        <v>0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-344430.32</v>
      </c>
      <c r="H588" s="239"/>
      <c r="I588" s="239"/>
      <c r="J588" s="210">
        <v>-49206</v>
      </c>
      <c r="K588" s="209">
        <v>0</v>
      </c>
      <c r="L588" s="209">
        <v>-393636.32</v>
      </c>
      <c r="M588" s="209">
        <v>393648.41</v>
      </c>
      <c r="N588" s="242">
        <v>344442.41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-128215</v>
      </c>
      <c r="H589" s="239"/>
      <c r="I589" s="239"/>
      <c r="J589" s="210">
        <v>0</v>
      </c>
      <c r="K589" s="209">
        <v>0</v>
      </c>
      <c r="L589" s="209">
        <v>-128215</v>
      </c>
      <c r="M589" s="209">
        <v>0</v>
      </c>
      <c r="N589" s="242">
        <v>0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-9071.1200000000008</v>
      </c>
      <c r="H590" s="239"/>
      <c r="I590" s="239"/>
      <c r="J590" s="210">
        <v>0</v>
      </c>
      <c r="K590" s="209">
        <v>0</v>
      </c>
      <c r="L590" s="209">
        <v>-9071.1200000000008</v>
      </c>
      <c r="M590" s="209">
        <v>0</v>
      </c>
      <c r="N590" s="242">
        <v>0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-26512.98</v>
      </c>
      <c r="H591" s="239"/>
      <c r="I591" s="239"/>
      <c r="J591" s="210">
        <v>0</v>
      </c>
      <c r="K591" s="209">
        <v>0</v>
      </c>
      <c r="L591" s="209">
        <v>-26512.98</v>
      </c>
      <c r="M591" s="209">
        <v>0</v>
      </c>
      <c r="N591" s="242">
        <v>0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-65900</v>
      </c>
      <c r="H592" s="239"/>
      <c r="I592" s="239"/>
      <c r="J592" s="210">
        <v>0</v>
      </c>
      <c r="K592" s="209">
        <v>0</v>
      </c>
      <c r="L592" s="209">
        <v>-65900</v>
      </c>
      <c r="M592" s="209">
        <v>0</v>
      </c>
      <c r="N592" s="242">
        <v>0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-39502.5</v>
      </c>
      <c r="H593" s="239"/>
      <c r="I593" s="239"/>
      <c r="J593" s="210">
        <v>0</v>
      </c>
      <c r="K593" s="209">
        <v>0</v>
      </c>
      <c r="L593" s="209">
        <v>-39502.5</v>
      </c>
      <c r="M593" s="209">
        <v>0</v>
      </c>
      <c r="N593" s="242">
        <v>0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-177852</v>
      </c>
      <c r="H594" s="239"/>
      <c r="I594" s="239"/>
      <c r="J594" s="210">
        <v>-27715</v>
      </c>
      <c r="K594" s="209">
        <v>0</v>
      </c>
      <c r="L594" s="209">
        <v>-205567</v>
      </c>
      <c r="M594" s="209">
        <v>99314</v>
      </c>
      <c r="N594" s="242">
        <v>71599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-82545</v>
      </c>
      <c r="H595" s="239"/>
      <c r="I595" s="239"/>
      <c r="J595" s="210">
        <v>0</v>
      </c>
      <c r="K595" s="209">
        <v>0</v>
      </c>
      <c r="L595" s="209">
        <v>-82545</v>
      </c>
      <c r="M595" s="209">
        <v>0</v>
      </c>
      <c r="N595" s="242">
        <v>0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-376915</v>
      </c>
      <c r="H596" s="239"/>
      <c r="I596" s="239"/>
      <c r="J596" s="210">
        <v>-58740</v>
      </c>
      <c r="K596" s="209">
        <v>0</v>
      </c>
      <c r="L596" s="209">
        <v>-435655</v>
      </c>
      <c r="M596" s="209">
        <v>210485</v>
      </c>
      <c r="N596" s="242">
        <v>151745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-205400</v>
      </c>
      <c r="H597" s="239"/>
      <c r="I597" s="239"/>
      <c r="J597" s="210">
        <v>0</v>
      </c>
      <c r="K597" s="209">
        <v>0</v>
      </c>
      <c r="L597" s="209">
        <v>-205400</v>
      </c>
      <c r="M597" s="209">
        <v>0</v>
      </c>
      <c r="N597" s="242">
        <v>0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-68038</v>
      </c>
      <c r="H598" s="239"/>
      <c r="I598" s="239"/>
      <c r="J598" s="210">
        <v>-10745</v>
      </c>
      <c r="K598" s="209">
        <v>0</v>
      </c>
      <c r="L598" s="209">
        <v>-78783</v>
      </c>
      <c r="M598" s="209">
        <v>93119.5</v>
      </c>
      <c r="N598" s="242">
        <v>82374.5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-68038</v>
      </c>
      <c r="H599" s="239"/>
      <c r="I599" s="239"/>
      <c r="J599" s="210">
        <v>-10745</v>
      </c>
      <c r="K599" s="209">
        <v>0</v>
      </c>
      <c r="L599" s="209">
        <v>-78783</v>
      </c>
      <c r="M599" s="209">
        <v>93119.5</v>
      </c>
      <c r="N599" s="242">
        <v>82374.5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-68038</v>
      </c>
      <c r="H600" s="239"/>
      <c r="I600" s="239"/>
      <c r="J600" s="210">
        <v>-10745</v>
      </c>
      <c r="K600" s="209">
        <v>0</v>
      </c>
      <c r="L600" s="209">
        <v>-78783</v>
      </c>
      <c r="M600" s="209">
        <v>93119.5</v>
      </c>
      <c r="N600" s="242">
        <v>82374.5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-68038</v>
      </c>
      <c r="H601" s="239"/>
      <c r="I601" s="239"/>
      <c r="J601" s="210">
        <v>-10745</v>
      </c>
      <c r="K601" s="209">
        <v>0</v>
      </c>
      <c r="L601" s="209">
        <v>-78783</v>
      </c>
      <c r="M601" s="209">
        <v>93119.5</v>
      </c>
      <c r="N601" s="242">
        <v>82374.5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-68038</v>
      </c>
      <c r="H602" s="239"/>
      <c r="I602" s="239"/>
      <c r="J602" s="210">
        <v>-10745</v>
      </c>
      <c r="K602" s="209">
        <v>0</v>
      </c>
      <c r="L602" s="209">
        <v>-78783</v>
      </c>
      <c r="M602" s="209">
        <v>93119.5</v>
      </c>
      <c r="N602" s="242">
        <v>82374.5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-68038</v>
      </c>
      <c r="H603" s="239"/>
      <c r="I603" s="239"/>
      <c r="J603" s="210">
        <v>-10745</v>
      </c>
      <c r="K603" s="209">
        <v>0</v>
      </c>
      <c r="L603" s="209">
        <v>-78783</v>
      </c>
      <c r="M603" s="209">
        <v>93119.5</v>
      </c>
      <c r="N603" s="242">
        <v>82374.5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-68038</v>
      </c>
      <c r="H604" s="239"/>
      <c r="I604" s="239"/>
      <c r="J604" s="210">
        <v>-10745</v>
      </c>
      <c r="K604" s="209">
        <v>0</v>
      </c>
      <c r="L604" s="209">
        <v>-78783</v>
      </c>
      <c r="M604" s="209">
        <v>93119.5</v>
      </c>
      <c r="N604" s="242">
        <v>82374.5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-68038</v>
      </c>
      <c r="H605" s="239"/>
      <c r="I605" s="239"/>
      <c r="J605" s="210">
        <v>-10745</v>
      </c>
      <c r="K605" s="209">
        <v>0</v>
      </c>
      <c r="L605" s="209">
        <v>-78783</v>
      </c>
      <c r="M605" s="209">
        <v>93119.5</v>
      </c>
      <c r="N605" s="242">
        <v>82374.5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-1323894</v>
      </c>
      <c r="H606" s="239"/>
      <c r="I606" s="239"/>
      <c r="J606" s="210">
        <v>-214686</v>
      </c>
      <c r="K606" s="209">
        <v>0</v>
      </c>
      <c r="L606" s="209">
        <v>-1538580</v>
      </c>
      <c r="M606" s="209">
        <v>1896393.21</v>
      </c>
      <c r="N606" s="242">
        <v>1681707.21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-40696</v>
      </c>
      <c r="H607" s="239"/>
      <c r="I607" s="239"/>
      <c r="J607" s="210">
        <v>0</v>
      </c>
      <c r="K607" s="209">
        <v>0</v>
      </c>
      <c r="L607" s="209">
        <v>-40696</v>
      </c>
      <c r="M607" s="209">
        <v>0</v>
      </c>
      <c r="N607" s="242">
        <v>0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-108001</v>
      </c>
      <c r="H608" s="239"/>
      <c r="I608" s="239"/>
      <c r="J608" s="210">
        <v>-17754</v>
      </c>
      <c r="K608" s="209">
        <v>0</v>
      </c>
      <c r="L608" s="209">
        <v>-125755</v>
      </c>
      <c r="M608" s="209">
        <v>69536.63</v>
      </c>
      <c r="N608" s="242">
        <v>51782.63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-96000</v>
      </c>
      <c r="H609" s="239"/>
      <c r="I609" s="239"/>
      <c r="J609" s="210">
        <v>0</v>
      </c>
      <c r="K609" s="209">
        <v>0</v>
      </c>
      <c r="L609" s="209">
        <v>-96000</v>
      </c>
      <c r="M609" s="209">
        <v>0</v>
      </c>
      <c r="N609" s="242">
        <v>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-167044</v>
      </c>
      <c r="H610" s="239"/>
      <c r="I610" s="239"/>
      <c r="J610" s="210">
        <v>-27461</v>
      </c>
      <c r="K610" s="209">
        <v>0</v>
      </c>
      <c r="L610" s="209">
        <v>-194505</v>
      </c>
      <c r="M610" s="209">
        <v>107556</v>
      </c>
      <c r="N610" s="242">
        <v>80095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-545381</v>
      </c>
      <c r="H611" s="239"/>
      <c r="I611" s="239"/>
      <c r="J611" s="210">
        <v>0</v>
      </c>
      <c r="K611" s="209">
        <v>0</v>
      </c>
      <c r="L611" s="209">
        <v>-545381</v>
      </c>
      <c r="M611" s="209">
        <v>0</v>
      </c>
      <c r="N611" s="242">
        <v>0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-195236</v>
      </c>
      <c r="H612" s="239"/>
      <c r="I612" s="239"/>
      <c r="J612" s="210">
        <v>-32094</v>
      </c>
      <c r="K612" s="209">
        <v>0</v>
      </c>
      <c r="L612" s="209">
        <v>-227330</v>
      </c>
      <c r="M612" s="209">
        <v>125701.43</v>
      </c>
      <c r="N612" s="242">
        <v>93607.43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-194996</v>
      </c>
      <c r="H613" s="239"/>
      <c r="I613" s="239"/>
      <c r="J613" s="210">
        <v>-32501</v>
      </c>
      <c r="K613" s="209">
        <v>0</v>
      </c>
      <c r="L613" s="209">
        <v>-227497</v>
      </c>
      <c r="M613" s="209">
        <v>130004</v>
      </c>
      <c r="N613" s="242">
        <v>97503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-155000</v>
      </c>
      <c r="H614" s="239"/>
      <c r="I614" s="239"/>
      <c r="J614" s="210">
        <v>0</v>
      </c>
      <c r="K614" s="209">
        <v>0</v>
      </c>
      <c r="L614" s="209">
        <v>-155000</v>
      </c>
      <c r="M614" s="209">
        <v>0</v>
      </c>
      <c r="N614" s="242">
        <v>0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-76330.42</v>
      </c>
      <c r="H615" s="239"/>
      <c r="I615" s="239"/>
      <c r="J615" s="210">
        <v>0</v>
      </c>
      <c r="K615" s="209">
        <v>0</v>
      </c>
      <c r="L615" s="209">
        <v>-76330.42</v>
      </c>
      <c r="M615" s="209">
        <v>0</v>
      </c>
      <c r="N615" s="242">
        <v>0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-92500</v>
      </c>
      <c r="H616" s="239"/>
      <c r="I616" s="239"/>
      <c r="J616" s="210">
        <v>0</v>
      </c>
      <c r="K616" s="209">
        <v>0</v>
      </c>
      <c r="L616" s="209">
        <v>-92500</v>
      </c>
      <c r="M616" s="209">
        <v>0</v>
      </c>
      <c r="N616" s="242">
        <v>0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-68920</v>
      </c>
      <c r="H617" s="239"/>
      <c r="I617" s="239"/>
      <c r="J617" s="210">
        <v>-11488</v>
      </c>
      <c r="K617" s="209">
        <v>0</v>
      </c>
      <c r="L617" s="209">
        <v>-80408</v>
      </c>
      <c r="M617" s="209">
        <v>103391.5</v>
      </c>
      <c r="N617" s="242">
        <v>91903.5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-356916</v>
      </c>
      <c r="H618" s="239"/>
      <c r="I618" s="239"/>
      <c r="J618" s="210">
        <v>-59487</v>
      </c>
      <c r="K618" s="209">
        <v>0</v>
      </c>
      <c r="L618" s="209">
        <v>-416403</v>
      </c>
      <c r="M618" s="209">
        <v>237948</v>
      </c>
      <c r="N618" s="242">
        <v>178461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-62946</v>
      </c>
      <c r="H619" s="239"/>
      <c r="I619" s="239"/>
      <c r="J619" s="210">
        <v>-10492</v>
      </c>
      <c r="K619" s="209">
        <v>0</v>
      </c>
      <c r="L619" s="209">
        <v>-73438</v>
      </c>
      <c r="M619" s="209">
        <v>41969</v>
      </c>
      <c r="N619" s="242">
        <v>31477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-60542</v>
      </c>
      <c r="H620" s="239"/>
      <c r="I620" s="239"/>
      <c r="J620" s="210">
        <v>-10090</v>
      </c>
      <c r="K620" s="209">
        <v>0</v>
      </c>
      <c r="L620" s="209">
        <v>-70632</v>
      </c>
      <c r="M620" s="209">
        <v>40359</v>
      </c>
      <c r="N620" s="242">
        <v>30269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-210240</v>
      </c>
      <c r="H621" s="239"/>
      <c r="I621" s="239"/>
      <c r="J621" s="210">
        <v>-35040</v>
      </c>
      <c r="K621" s="209">
        <v>0</v>
      </c>
      <c r="L621" s="209">
        <v>-245280</v>
      </c>
      <c r="M621" s="209">
        <v>315360</v>
      </c>
      <c r="N621" s="242">
        <v>280320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-1627601</v>
      </c>
      <c r="H622" s="239"/>
      <c r="I622" s="239"/>
      <c r="J622" s="210">
        <v>-271266</v>
      </c>
      <c r="K622" s="209">
        <v>0</v>
      </c>
      <c r="L622" s="209">
        <v>-1898867</v>
      </c>
      <c r="M622" s="209">
        <v>1085064.3799999999</v>
      </c>
      <c r="N622" s="242">
        <v>813798.38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-117104</v>
      </c>
      <c r="H623" s="239"/>
      <c r="I623" s="239"/>
      <c r="J623" s="210">
        <v>-20366</v>
      </c>
      <c r="K623" s="209">
        <v>0</v>
      </c>
      <c r="L623" s="209">
        <v>-137470</v>
      </c>
      <c r="M623" s="209">
        <v>86557.55</v>
      </c>
      <c r="N623" s="242">
        <v>66191.55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-382896</v>
      </c>
      <c r="H624" s="239"/>
      <c r="I624" s="239"/>
      <c r="J624" s="210">
        <v>-66592</v>
      </c>
      <c r="K624" s="209">
        <v>0</v>
      </c>
      <c r="L624" s="209">
        <v>-449488</v>
      </c>
      <c r="M624" s="209">
        <v>615974.5</v>
      </c>
      <c r="N624" s="242">
        <v>549382.5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-91090</v>
      </c>
      <c r="H625" s="239"/>
      <c r="I625" s="239"/>
      <c r="J625" s="210">
        <v>0</v>
      </c>
      <c r="K625" s="209">
        <v>0</v>
      </c>
      <c r="L625" s="209">
        <v>-91090</v>
      </c>
      <c r="M625" s="209">
        <v>0</v>
      </c>
      <c r="N625" s="242">
        <v>0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-315000</v>
      </c>
      <c r="H626" s="239"/>
      <c r="I626" s="239"/>
      <c r="J626" s="210">
        <v>0</v>
      </c>
      <c r="K626" s="209">
        <v>0</v>
      </c>
      <c r="L626" s="209">
        <v>-315000</v>
      </c>
      <c r="M626" s="209">
        <v>0</v>
      </c>
      <c r="N626" s="242">
        <v>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-229972</v>
      </c>
      <c r="H627" s="239"/>
      <c r="I627" s="239"/>
      <c r="J627" s="210">
        <v>-44512</v>
      </c>
      <c r="K627" s="209">
        <v>0</v>
      </c>
      <c r="L627" s="209">
        <v>-274484</v>
      </c>
      <c r="M627" s="209">
        <v>437696</v>
      </c>
      <c r="N627" s="242">
        <v>393184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-279497</v>
      </c>
      <c r="H628" s="239"/>
      <c r="I628" s="239"/>
      <c r="J628" s="210">
        <v>-54096</v>
      </c>
      <c r="K628" s="209">
        <v>0</v>
      </c>
      <c r="L628" s="209">
        <v>-333593</v>
      </c>
      <c r="M628" s="209">
        <v>531945.69999999995</v>
      </c>
      <c r="N628" s="242">
        <v>477849.7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-40884</v>
      </c>
      <c r="H629" s="239"/>
      <c r="I629" s="239"/>
      <c r="J629" s="210">
        <v>0</v>
      </c>
      <c r="K629" s="209">
        <v>0</v>
      </c>
      <c r="L629" s="209">
        <v>-40884</v>
      </c>
      <c r="M629" s="209">
        <v>0</v>
      </c>
      <c r="N629" s="242">
        <v>0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-33480</v>
      </c>
      <c r="H630" s="239"/>
      <c r="I630" s="239"/>
      <c r="J630" s="210">
        <v>0</v>
      </c>
      <c r="K630" s="209">
        <v>0</v>
      </c>
      <c r="L630" s="209">
        <v>-33480</v>
      </c>
      <c r="M630" s="209">
        <v>0</v>
      </c>
      <c r="N630" s="242">
        <v>0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-58648.75</v>
      </c>
      <c r="H631" s="239"/>
      <c r="I631" s="239"/>
      <c r="J631" s="210">
        <v>0</v>
      </c>
      <c r="K631" s="209">
        <v>0</v>
      </c>
      <c r="L631" s="209">
        <v>-58648.75</v>
      </c>
      <c r="M631" s="209">
        <v>0</v>
      </c>
      <c r="N631" s="242">
        <v>0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-112792</v>
      </c>
      <c r="H632" s="239"/>
      <c r="I632" s="239"/>
      <c r="J632" s="210">
        <v>-22188</v>
      </c>
      <c r="K632" s="209">
        <v>0</v>
      </c>
      <c r="L632" s="209">
        <v>-134980</v>
      </c>
      <c r="M632" s="209">
        <v>220037.6</v>
      </c>
      <c r="N632" s="242">
        <v>197849.60000000001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-712459</v>
      </c>
      <c r="H633" s="239"/>
      <c r="I633" s="239"/>
      <c r="J633" s="210">
        <v>-140154</v>
      </c>
      <c r="K633" s="209">
        <v>0</v>
      </c>
      <c r="L633" s="209">
        <v>-852613</v>
      </c>
      <c r="M633" s="209">
        <v>1389868</v>
      </c>
      <c r="N633" s="242">
        <v>1249714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-276855</v>
      </c>
      <c r="H634" s="239"/>
      <c r="I634" s="239"/>
      <c r="J634" s="210">
        <v>-54462</v>
      </c>
      <c r="K634" s="209">
        <v>0</v>
      </c>
      <c r="L634" s="209">
        <v>-331317</v>
      </c>
      <c r="M634" s="209">
        <v>540082</v>
      </c>
      <c r="N634" s="242">
        <v>485620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-172699</v>
      </c>
      <c r="H635" s="239"/>
      <c r="I635" s="239"/>
      <c r="J635" s="210">
        <v>-33974</v>
      </c>
      <c r="K635" s="209">
        <v>0</v>
      </c>
      <c r="L635" s="209">
        <v>-206673</v>
      </c>
      <c r="M635" s="209">
        <v>336909</v>
      </c>
      <c r="N635" s="242">
        <v>302935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-142001</v>
      </c>
      <c r="H636" s="239"/>
      <c r="I636" s="239"/>
      <c r="J636" s="210">
        <v>-27934</v>
      </c>
      <c r="K636" s="209">
        <v>0</v>
      </c>
      <c r="L636" s="209">
        <v>-169935</v>
      </c>
      <c r="M636" s="209">
        <v>277014.67</v>
      </c>
      <c r="N636" s="242">
        <v>249080.67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-136624.75</v>
      </c>
      <c r="H637" s="239"/>
      <c r="I637" s="239"/>
      <c r="J637" s="210">
        <v>0</v>
      </c>
      <c r="K637" s="209">
        <v>0</v>
      </c>
      <c r="L637" s="209">
        <v>-136624.75</v>
      </c>
      <c r="M637" s="209">
        <v>0</v>
      </c>
      <c r="N637" s="242">
        <v>0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-161951</v>
      </c>
      <c r="H638" s="239"/>
      <c r="I638" s="239"/>
      <c r="J638" s="210">
        <v>-32390</v>
      </c>
      <c r="K638" s="209">
        <v>0</v>
      </c>
      <c r="L638" s="209">
        <v>-194341</v>
      </c>
      <c r="M638" s="209">
        <v>161953</v>
      </c>
      <c r="N638" s="242">
        <v>129563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-656664</v>
      </c>
      <c r="H639" s="239"/>
      <c r="I639" s="239"/>
      <c r="J639" s="210">
        <v>-131334</v>
      </c>
      <c r="K639" s="209">
        <v>0</v>
      </c>
      <c r="L639" s="209">
        <v>-787998</v>
      </c>
      <c r="M639" s="209">
        <v>656670.25</v>
      </c>
      <c r="N639" s="242">
        <v>525336.25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-77414</v>
      </c>
      <c r="H640" s="239"/>
      <c r="I640" s="239"/>
      <c r="J640" s="210">
        <v>-0.43</v>
      </c>
      <c r="K640" s="209">
        <v>0</v>
      </c>
      <c r="L640" s="209">
        <v>-77414.429999999993</v>
      </c>
      <c r="M640" s="209">
        <v>0.43</v>
      </c>
      <c r="N640" s="242">
        <v>0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-138907</v>
      </c>
      <c r="H641" s="239"/>
      <c r="I641" s="239"/>
      <c r="J641" s="210">
        <v>-27781</v>
      </c>
      <c r="K641" s="209">
        <v>0</v>
      </c>
      <c r="L641" s="209">
        <v>-166688</v>
      </c>
      <c r="M641" s="209">
        <v>138907.5</v>
      </c>
      <c r="N641" s="242">
        <v>111126.5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-38765</v>
      </c>
      <c r="H642" s="239"/>
      <c r="I642" s="239"/>
      <c r="J642" s="210">
        <v>-7753</v>
      </c>
      <c r="K642" s="209">
        <v>0</v>
      </c>
      <c r="L642" s="209">
        <v>-46518</v>
      </c>
      <c r="M642" s="209">
        <v>38766.18</v>
      </c>
      <c r="N642" s="242">
        <v>31013.18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-19192</v>
      </c>
      <c r="H643" s="239"/>
      <c r="I643" s="239"/>
      <c r="J643" s="210">
        <v>-3839</v>
      </c>
      <c r="K643" s="209">
        <v>0</v>
      </c>
      <c r="L643" s="209">
        <v>-23031</v>
      </c>
      <c r="M643" s="209">
        <v>19191.25</v>
      </c>
      <c r="N643" s="242">
        <v>15352.25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-145296</v>
      </c>
      <c r="H644" s="239"/>
      <c r="I644" s="239"/>
      <c r="J644" s="210">
        <v>-5009.8</v>
      </c>
      <c r="K644" s="209">
        <v>0</v>
      </c>
      <c r="L644" s="209">
        <v>-150305.79999999999</v>
      </c>
      <c r="M644" s="209">
        <v>5009.8</v>
      </c>
      <c r="N644" s="242">
        <v>0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-189050</v>
      </c>
      <c r="H645" s="239"/>
      <c r="I645" s="239"/>
      <c r="J645" s="210">
        <v>-9950</v>
      </c>
      <c r="K645" s="209">
        <v>0</v>
      </c>
      <c r="L645" s="209">
        <v>-199000</v>
      </c>
      <c r="M645" s="209">
        <v>9950</v>
      </c>
      <c r="N645" s="242">
        <v>0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-98530</v>
      </c>
      <c r="H646" s="239"/>
      <c r="I646" s="239"/>
      <c r="J646" s="210">
        <v>-5185.62</v>
      </c>
      <c r="K646" s="209">
        <v>0</v>
      </c>
      <c r="L646" s="209">
        <v>-103715.62</v>
      </c>
      <c r="M646" s="209">
        <v>5185.62</v>
      </c>
      <c r="N646" s="242">
        <v>0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-222692</v>
      </c>
      <c r="H647" s="239"/>
      <c r="I647" s="239"/>
      <c r="J647" s="210">
        <v>-46882</v>
      </c>
      <c r="K647" s="209">
        <v>0</v>
      </c>
      <c r="L647" s="209">
        <v>-269574</v>
      </c>
      <c r="M647" s="209">
        <v>246132</v>
      </c>
      <c r="N647" s="242">
        <v>199250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-16958</v>
      </c>
      <c r="H648" s="239"/>
      <c r="I648" s="239"/>
      <c r="J648" s="210">
        <v>-3570</v>
      </c>
      <c r="K648" s="209">
        <v>0</v>
      </c>
      <c r="L648" s="209">
        <v>-20528</v>
      </c>
      <c r="M648" s="209">
        <v>18742</v>
      </c>
      <c r="N648" s="242">
        <v>15172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-75240</v>
      </c>
      <c r="H649" s="239"/>
      <c r="I649" s="239"/>
      <c r="J649" s="210">
        <v>-15840</v>
      </c>
      <c r="K649" s="209">
        <v>0</v>
      </c>
      <c r="L649" s="209">
        <v>-91080</v>
      </c>
      <c r="M649" s="209">
        <v>83160</v>
      </c>
      <c r="N649" s="242">
        <v>67320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-47498</v>
      </c>
      <c r="H650" s="239"/>
      <c r="I650" s="239"/>
      <c r="J650" s="210">
        <v>-10000</v>
      </c>
      <c r="K650" s="209">
        <v>0</v>
      </c>
      <c r="L650" s="209">
        <v>-57498</v>
      </c>
      <c r="M650" s="209">
        <v>102502</v>
      </c>
      <c r="N650" s="242">
        <v>92502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-284407</v>
      </c>
      <c r="H651" s="239"/>
      <c r="I651" s="239"/>
      <c r="J651" s="210">
        <v>-59874</v>
      </c>
      <c r="K651" s="209">
        <v>0</v>
      </c>
      <c r="L651" s="209">
        <v>-344281</v>
      </c>
      <c r="M651" s="209">
        <v>314339.98</v>
      </c>
      <c r="N651" s="242">
        <v>254465.98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-196147</v>
      </c>
      <c r="H652" s="239"/>
      <c r="I652" s="239"/>
      <c r="J652" s="210">
        <v>-42796</v>
      </c>
      <c r="K652" s="209">
        <v>0</v>
      </c>
      <c r="L652" s="209">
        <v>-238943</v>
      </c>
      <c r="M652" s="209">
        <v>231813</v>
      </c>
      <c r="N652" s="242">
        <v>189017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-439647</v>
      </c>
      <c r="H653" s="239"/>
      <c r="I653" s="239"/>
      <c r="J653" s="210">
        <v>-39967.85</v>
      </c>
      <c r="K653" s="209">
        <v>0</v>
      </c>
      <c r="L653" s="209">
        <v>-479614.85</v>
      </c>
      <c r="M653" s="209">
        <v>39967.85</v>
      </c>
      <c r="N653" s="242">
        <v>0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-125999</v>
      </c>
      <c r="H654" s="239"/>
      <c r="I654" s="239"/>
      <c r="J654" s="210">
        <v>-28000</v>
      </c>
      <c r="K654" s="209">
        <v>0</v>
      </c>
      <c r="L654" s="209">
        <v>-153999</v>
      </c>
      <c r="M654" s="209">
        <v>294001</v>
      </c>
      <c r="N654" s="242">
        <v>266001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-387132</v>
      </c>
      <c r="H655" s="239"/>
      <c r="I655" s="239"/>
      <c r="J655" s="210">
        <v>-68317</v>
      </c>
      <c r="K655" s="209">
        <v>0</v>
      </c>
      <c r="L655" s="209">
        <v>-455449</v>
      </c>
      <c r="M655" s="209">
        <v>68317</v>
      </c>
      <c r="N655" s="242">
        <v>0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-158002</v>
      </c>
      <c r="H656" s="239"/>
      <c r="I656" s="239"/>
      <c r="J656" s="210">
        <v>-27883</v>
      </c>
      <c r="K656" s="209">
        <v>0</v>
      </c>
      <c r="L656" s="209">
        <v>-185885</v>
      </c>
      <c r="M656" s="209">
        <v>27883</v>
      </c>
      <c r="N656" s="242">
        <v>0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-286980</v>
      </c>
      <c r="H657" s="239"/>
      <c r="I657" s="239"/>
      <c r="J657" s="210">
        <v>-67525</v>
      </c>
      <c r="K657" s="209">
        <v>0</v>
      </c>
      <c r="L657" s="209">
        <v>-354505</v>
      </c>
      <c r="M657" s="209">
        <v>388267.9</v>
      </c>
      <c r="N657" s="242">
        <v>320742.90000000002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-72590</v>
      </c>
      <c r="H658" s="239"/>
      <c r="I658" s="239"/>
      <c r="J658" s="210">
        <v>-12810</v>
      </c>
      <c r="K658" s="209">
        <v>0</v>
      </c>
      <c r="L658" s="209">
        <v>-85400</v>
      </c>
      <c r="M658" s="209">
        <v>12810</v>
      </c>
      <c r="N658" s="242">
        <v>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-94536</v>
      </c>
      <c r="H659" s="239"/>
      <c r="I659" s="239"/>
      <c r="J659" s="210">
        <v>-16682.45</v>
      </c>
      <c r="K659" s="209">
        <v>0</v>
      </c>
      <c r="L659" s="209">
        <v>-111218.45</v>
      </c>
      <c r="M659" s="209">
        <v>16682.45</v>
      </c>
      <c r="N659" s="242">
        <v>0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-129105</v>
      </c>
      <c r="H660" s="239"/>
      <c r="I660" s="239"/>
      <c r="J660" s="210">
        <v>-30986</v>
      </c>
      <c r="K660" s="209">
        <v>0</v>
      </c>
      <c r="L660" s="209">
        <v>-160091</v>
      </c>
      <c r="M660" s="209">
        <v>180748.21</v>
      </c>
      <c r="N660" s="242">
        <v>149762.21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-105565</v>
      </c>
      <c r="H661" s="239"/>
      <c r="I661" s="239"/>
      <c r="J661" s="210">
        <v>-25335</v>
      </c>
      <c r="K661" s="209">
        <v>0</v>
      </c>
      <c r="L661" s="209">
        <v>-130900</v>
      </c>
      <c r="M661" s="209">
        <v>147790.85</v>
      </c>
      <c r="N661" s="242">
        <v>122455.85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-4003723.44</v>
      </c>
      <c r="H743" s="239"/>
      <c r="I743" s="239"/>
      <c r="J743" s="210">
        <v>-0.06</v>
      </c>
      <c r="K743" s="209">
        <v>0</v>
      </c>
      <c r="L743" s="209">
        <v>-4003723.5</v>
      </c>
      <c r="M743" s="209">
        <v>0.06</v>
      </c>
      <c r="N743" s="242">
        <v>0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-1560899.52</v>
      </c>
      <c r="H769" s="239"/>
      <c r="I769" s="239"/>
      <c r="J769" s="210">
        <v>-96570</v>
      </c>
      <c r="K769" s="209">
        <v>0</v>
      </c>
      <c r="L769" s="209">
        <v>-1657469.52</v>
      </c>
      <c r="M769" s="209">
        <v>289709.71999999997</v>
      </c>
      <c r="N769" s="242">
        <v>193139.72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-3009170</v>
      </c>
      <c r="H798" s="239"/>
      <c r="I798" s="239"/>
      <c r="J798" s="210">
        <v>0</v>
      </c>
      <c r="K798" s="209">
        <v>0</v>
      </c>
      <c r="L798" s="209">
        <v>-3009170</v>
      </c>
      <c r="M798" s="209">
        <v>0</v>
      </c>
      <c r="N798" s="242">
        <v>0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-836800</v>
      </c>
      <c r="H843" s="239"/>
      <c r="I843" s="239"/>
      <c r="J843" s="210">
        <v>0</v>
      </c>
      <c r="K843" s="209">
        <v>0</v>
      </c>
      <c r="L843" s="209">
        <v>-836800</v>
      </c>
      <c r="M843" s="209">
        <v>0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-51264</v>
      </c>
      <c r="H846" s="239"/>
      <c r="I846" s="239"/>
      <c r="J846" s="210">
        <v>0</v>
      </c>
      <c r="K846" s="209">
        <v>0</v>
      </c>
      <c r="L846" s="209">
        <v>-51264</v>
      </c>
      <c r="M846" s="209">
        <v>0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-432660</v>
      </c>
      <c r="H850" s="239"/>
      <c r="I850" s="239"/>
      <c r="J850" s="210">
        <v>0</v>
      </c>
      <c r="K850" s="209">
        <v>0</v>
      </c>
      <c r="L850" s="209">
        <v>-432660</v>
      </c>
      <c r="M850" s="209">
        <v>0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-8114080</v>
      </c>
      <c r="H860" s="239"/>
      <c r="I860" s="239"/>
      <c r="J860" s="210">
        <v>0</v>
      </c>
      <c r="K860" s="209">
        <v>0</v>
      </c>
      <c r="L860" s="209">
        <v>-8114080</v>
      </c>
      <c r="M860" s="209">
        <v>0</v>
      </c>
      <c r="N860" s="242">
        <v>0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-948740.88</v>
      </c>
      <c r="H861" s="239"/>
      <c r="I861" s="239"/>
      <c r="J861" s="210">
        <v>0</v>
      </c>
      <c r="K861" s="209">
        <v>0</v>
      </c>
      <c r="L861" s="209">
        <v>-948740.88</v>
      </c>
      <c r="M861" s="209">
        <v>0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-110073205.03</v>
      </c>
      <c r="H862" s="244"/>
      <c r="I862" s="244"/>
      <c r="J862" s="208">
        <v>-4321882.13</v>
      </c>
      <c r="K862" s="207">
        <v>0</v>
      </c>
      <c r="L862" s="207">
        <v>-114395087.16</v>
      </c>
      <c r="M862" s="207">
        <v>23895869.899999999</v>
      </c>
      <c r="N862" s="245">
        <v>19573987.77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-252776193.56</v>
      </c>
      <c r="H871" s="239"/>
      <c r="I871" s="239"/>
      <c r="J871" s="202">
        <v>-6063644.1299999999</v>
      </c>
      <c r="K871" s="201">
        <v>0</v>
      </c>
      <c r="L871" s="201">
        <v>-258839837.69</v>
      </c>
      <c r="M871" s="201">
        <v>33049532.670000002</v>
      </c>
      <c r="N871" s="253">
        <v>26985888.539999999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8CB6-E6D9-4738-9CC0-8281DD0C5360}">
  <dimension ref="A1:O872"/>
  <sheetViews>
    <sheetView showGridLines="0" workbookViewId="0">
      <pane ySplit="15" topLeftCell="A854" activePane="bottomLeft" state="frozen"/>
      <selection pane="bottomLeft" activeCell="J4" sqref="J1:J1048576"/>
    </sheetView>
  </sheetViews>
  <sheetFormatPr defaultColWidth="9.1796875" defaultRowHeight="14.5" x14ac:dyDescent="0.35"/>
  <cols>
    <col min="1" max="1" width="8.1796875" style="199" customWidth="1"/>
    <col min="2" max="2" width="13.54296875" style="199" customWidth="1"/>
    <col min="3" max="3" width="13" style="199" customWidth="1"/>
    <col min="4" max="5" width="10.81640625" style="199" customWidth="1"/>
    <col min="6" max="6" width="13" style="199" customWidth="1"/>
    <col min="7" max="7" width="10.453125" style="199" customWidth="1"/>
    <col min="8" max="8" width="0.1796875" style="199" customWidth="1"/>
    <col min="9" max="9" width="1.26953125" style="199" customWidth="1"/>
    <col min="10" max="10" width="11.81640625" style="200" customWidth="1"/>
    <col min="11" max="12" width="11.81640625" style="199" customWidth="1"/>
    <col min="13" max="13" width="10.81640625" style="199" customWidth="1"/>
    <col min="14" max="14" width="10.7265625" style="199" customWidth="1"/>
    <col min="15" max="15" width="0.1796875" style="199" customWidth="1"/>
    <col min="16" max="16384" width="9.1796875" style="199"/>
  </cols>
  <sheetData>
    <row r="1" spans="1:15" ht="11.15" customHeight="1" x14ac:dyDescent="0.35">
      <c r="A1" s="238" t="s">
        <v>152</v>
      </c>
      <c r="B1" s="239"/>
      <c r="C1" s="239"/>
      <c r="D1" s="239"/>
      <c r="E1" s="239"/>
      <c r="F1" s="239"/>
      <c r="G1" s="239"/>
      <c r="I1" s="240" t="s">
        <v>153</v>
      </c>
      <c r="J1" s="239"/>
      <c r="K1" s="239"/>
      <c r="L1" s="239"/>
      <c r="M1" s="239"/>
      <c r="N1" s="239"/>
    </row>
    <row r="2" spans="1:15" ht="9" customHeight="1" x14ac:dyDescent="0.35">
      <c r="A2" s="239"/>
      <c r="B2" s="239"/>
      <c r="C2" s="239"/>
      <c r="D2" s="239"/>
      <c r="E2" s="239"/>
      <c r="F2" s="239"/>
      <c r="G2" s="239"/>
      <c r="I2" s="240" t="s">
        <v>154</v>
      </c>
      <c r="J2" s="239"/>
      <c r="K2" s="239"/>
      <c r="L2" s="239"/>
      <c r="M2" s="239"/>
      <c r="N2" s="239"/>
    </row>
    <row r="3" spans="1:15" ht="2.15" customHeight="1" x14ac:dyDescent="0.35">
      <c r="I3" s="239"/>
      <c r="J3" s="239"/>
      <c r="K3" s="239"/>
      <c r="L3" s="239"/>
      <c r="M3" s="239"/>
      <c r="N3" s="239"/>
    </row>
    <row r="4" spans="1:15" ht="0.4" customHeight="1" x14ac:dyDescent="0.35"/>
    <row r="5" spans="1:15" ht="0.25" customHeight="1" x14ac:dyDescent="0.35">
      <c r="A5" s="241" t="s">
        <v>4</v>
      </c>
      <c r="B5" s="239"/>
      <c r="C5" s="239"/>
      <c r="D5" s="239"/>
      <c r="E5" s="239"/>
      <c r="F5" s="239"/>
      <c r="G5" s="239"/>
    </row>
    <row r="6" spans="1:15" x14ac:dyDescent="0.35">
      <c r="A6" s="239"/>
      <c r="B6" s="239"/>
      <c r="C6" s="239"/>
      <c r="D6" s="239"/>
      <c r="E6" s="239"/>
      <c r="F6" s="239"/>
      <c r="G6" s="239"/>
      <c r="I6" s="240" t="s">
        <v>155</v>
      </c>
      <c r="J6" s="239"/>
      <c r="K6" s="239"/>
      <c r="L6" s="239"/>
      <c r="M6" s="239"/>
      <c r="N6" s="239"/>
    </row>
    <row r="7" spans="1:15" x14ac:dyDescent="0.35">
      <c r="I7" s="239"/>
      <c r="J7" s="239"/>
      <c r="K7" s="239"/>
      <c r="L7" s="239"/>
      <c r="M7" s="239"/>
      <c r="N7" s="239"/>
    </row>
    <row r="8" spans="1:15" ht="1" customHeight="1" x14ac:dyDescent="0.35"/>
    <row r="9" spans="1:15" ht="11.15" customHeight="1" x14ac:dyDescent="0.35">
      <c r="A9" s="241" t="s">
        <v>156</v>
      </c>
      <c r="B9" s="239"/>
      <c r="C9" s="239"/>
      <c r="D9" s="239"/>
      <c r="E9" s="239"/>
      <c r="F9" s="239"/>
      <c r="G9" s="239"/>
    </row>
    <row r="10" spans="1:15" ht="19.399999999999999" customHeight="1" x14ac:dyDescent="0.35"/>
    <row r="11" spans="1:15" ht="1" customHeight="1" x14ac:dyDescent="0.35"/>
    <row r="12" spans="1:15" ht="10" customHeight="1" x14ac:dyDescent="0.35">
      <c r="A12" s="250" t="s">
        <v>1820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</row>
    <row r="13" spans="1:15" ht="10" customHeight="1" x14ac:dyDescent="0.35">
      <c r="A13" s="250" t="s">
        <v>158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</row>
    <row r="14" spans="1:15" ht="35" x14ac:dyDescent="0.35">
      <c r="A14" s="215" t="s">
        <v>159</v>
      </c>
      <c r="B14" s="214" t="s">
        <v>160</v>
      </c>
      <c r="C14" s="212" t="s">
        <v>1817</v>
      </c>
      <c r="D14" s="212" t="s">
        <v>162</v>
      </c>
      <c r="E14" s="212" t="s">
        <v>163</v>
      </c>
      <c r="F14" s="212" t="s">
        <v>1821</v>
      </c>
      <c r="G14" s="251" t="s">
        <v>1818</v>
      </c>
      <c r="H14" s="239"/>
      <c r="I14" s="239"/>
      <c r="J14" s="213" t="s">
        <v>166</v>
      </c>
      <c r="K14" s="212" t="s">
        <v>167</v>
      </c>
      <c r="L14" s="212" t="s">
        <v>1822</v>
      </c>
      <c r="M14" s="212" t="s">
        <v>1819</v>
      </c>
      <c r="N14" s="251" t="s">
        <v>1823</v>
      </c>
      <c r="O14" s="239"/>
    </row>
    <row r="15" spans="1:15" ht="5.15" customHeight="1" x14ac:dyDescent="0.35">
      <c r="A15" s="246" t="s">
        <v>171</v>
      </c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5.15" customHeight="1" x14ac:dyDescent="0.35">
      <c r="A16" s="248" t="s">
        <v>171</v>
      </c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0" customHeight="1" x14ac:dyDescent="0.35">
      <c r="A17" s="249" t="s">
        <v>172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</row>
    <row r="18" spans="1:15" ht="23" x14ac:dyDescent="0.35">
      <c r="A18" s="211" t="s">
        <v>173</v>
      </c>
      <c r="B18" s="211" t="s">
        <v>174</v>
      </c>
      <c r="C18" s="209">
        <v>2290000</v>
      </c>
      <c r="D18" s="209">
        <v>0</v>
      </c>
      <c r="E18" s="209">
        <v>0</v>
      </c>
      <c r="F18" s="209">
        <v>2290000</v>
      </c>
      <c r="G18" s="242">
        <v>-1927415.11</v>
      </c>
      <c r="H18" s="239"/>
      <c r="I18" s="239"/>
      <c r="J18" s="210">
        <v>-76333</v>
      </c>
      <c r="K18" s="209">
        <v>0</v>
      </c>
      <c r="L18" s="209">
        <v>-2003748.11</v>
      </c>
      <c r="M18" s="209">
        <v>362584.89</v>
      </c>
      <c r="N18" s="242">
        <v>286251.89</v>
      </c>
      <c r="O18" s="239"/>
    </row>
    <row r="19" spans="1:15" x14ac:dyDescent="0.35">
      <c r="A19" s="211" t="s">
        <v>175</v>
      </c>
      <c r="B19" s="211" t="s">
        <v>176</v>
      </c>
      <c r="C19" s="209">
        <v>929000</v>
      </c>
      <c r="D19" s="209">
        <v>0</v>
      </c>
      <c r="E19" s="209">
        <v>0</v>
      </c>
      <c r="F19" s="209">
        <v>929000</v>
      </c>
      <c r="G19" s="242">
        <v>-929000</v>
      </c>
      <c r="H19" s="239"/>
      <c r="I19" s="239"/>
      <c r="J19" s="210">
        <v>0</v>
      </c>
      <c r="K19" s="209">
        <v>0</v>
      </c>
      <c r="L19" s="209">
        <v>-929000</v>
      </c>
      <c r="M19" s="209">
        <v>0</v>
      </c>
      <c r="N19" s="242">
        <v>0</v>
      </c>
      <c r="O19" s="239"/>
    </row>
    <row r="20" spans="1:15" x14ac:dyDescent="0.35">
      <c r="A20" s="211" t="s">
        <v>177</v>
      </c>
      <c r="B20" s="211" t="s">
        <v>178</v>
      </c>
      <c r="C20" s="209">
        <v>230000</v>
      </c>
      <c r="D20" s="209">
        <v>0</v>
      </c>
      <c r="E20" s="209">
        <v>0</v>
      </c>
      <c r="F20" s="209">
        <v>230000</v>
      </c>
      <c r="G20" s="242">
        <v>-230000</v>
      </c>
      <c r="H20" s="239"/>
      <c r="I20" s="239"/>
      <c r="J20" s="210">
        <v>0</v>
      </c>
      <c r="K20" s="209">
        <v>0</v>
      </c>
      <c r="L20" s="209">
        <v>-230000</v>
      </c>
      <c r="M20" s="209">
        <v>0</v>
      </c>
      <c r="N20" s="242">
        <v>0</v>
      </c>
      <c r="O20" s="239"/>
    </row>
    <row r="21" spans="1:15" ht="23" x14ac:dyDescent="0.35">
      <c r="A21" s="211" t="s">
        <v>179</v>
      </c>
      <c r="B21" s="211" t="s">
        <v>180</v>
      </c>
      <c r="C21" s="209">
        <v>969000</v>
      </c>
      <c r="D21" s="209">
        <v>0</v>
      </c>
      <c r="E21" s="209">
        <v>0</v>
      </c>
      <c r="F21" s="209">
        <v>969000</v>
      </c>
      <c r="G21" s="242">
        <v>-969000</v>
      </c>
      <c r="H21" s="239"/>
      <c r="I21" s="239"/>
      <c r="J21" s="210">
        <v>0</v>
      </c>
      <c r="K21" s="209">
        <v>0</v>
      </c>
      <c r="L21" s="209">
        <v>-969000</v>
      </c>
      <c r="M21" s="209">
        <v>0</v>
      </c>
      <c r="N21" s="242">
        <v>0</v>
      </c>
      <c r="O21" s="239"/>
    </row>
    <row r="22" spans="1:15" x14ac:dyDescent="0.35">
      <c r="A22" s="243" t="s">
        <v>181</v>
      </c>
      <c r="B22" s="244"/>
      <c r="C22" s="207">
        <v>4418000</v>
      </c>
      <c r="D22" s="207">
        <v>0</v>
      </c>
      <c r="E22" s="207">
        <v>0</v>
      </c>
      <c r="F22" s="207">
        <v>4418000</v>
      </c>
      <c r="G22" s="245">
        <v>-4055415.11</v>
      </c>
      <c r="H22" s="244"/>
      <c r="I22" s="244"/>
      <c r="J22" s="208">
        <v>-76333</v>
      </c>
      <c r="K22" s="207">
        <v>0</v>
      </c>
      <c r="L22" s="207">
        <v>-4131748.11</v>
      </c>
      <c r="M22" s="207">
        <v>362584.89</v>
      </c>
      <c r="N22" s="245">
        <v>286251.89</v>
      </c>
      <c r="O22" s="244"/>
    </row>
    <row r="23" spans="1:15" ht="10" customHeight="1" x14ac:dyDescent="0.35">
      <c r="A23" s="249" t="s">
        <v>171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</row>
    <row r="24" spans="1:15" ht="5.15" customHeight="1" x14ac:dyDescent="0.35">
      <c r="A24" s="248" t="s">
        <v>171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</row>
    <row r="25" spans="1:15" ht="10" customHeight="1" x14ac:dyDescent="0.35">
      <c r="A25" s="249" t="s">
        <v>182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</row>
    <row r="26" spans="1:15" ht="23" x14ac:dyDescent="0.35">
      <c r="A26" s="211" t="s">
        <v>183</v>
      </c>
      <c r="B26" s="211" t="s">
        <v>184</v>
      </c>
      <c r="C26" s="209">
        <v>1521424</v>
      </c>
      <c r="D26" s="209">
        <v>0</v>
      </c>
      <c r="E26" s="209">
        <v>0</v>
      </c>
      <c r="F26" s="209">
        <v>1521424</v>
      </c>
      <c r="G26" s="242">
        <v>-1521423.74</v>
      </c>
      <c r="H26" s="239"/>
      <c r="I26" s="239"/>
      <c r="J26" s="210">
        <v>0</v>
      </c>
      <c r="K26" s="209">
        <v>0</v>
      </c>
      <c r="L26" s="209">
        <v>-1521423.74</v>
      </c>
      <c r="M26" s="209">
        <v>0.26</v>
      </c>
      <c r="N26" s="242">
        <v>0.26</v>
      </c>
      <c r="O26" s="239"/>
    </row>
    <row r="27" spans="1:15" ht="23" x14ac:dyDescent="0.35">
      <c r="A27" s="211" t="s">
        <v>185</v>
      </c>
      <c r="B27" s="211" t="s">
        <v>186</v>
      </c>
      <c r="C27" s="209">
        <v>507153</v>
      </c>
      <c r="D27" s="209">
        <v>0</v>
      </c>
      <c r="E27" s="209">
        <v>0</v>
      </c>
      <c r="F27" s="209">
        <v>507153</v>
      </c>
      <c r="G27" s="242">
        <v>-507153</v>
      </c>
      <c r="H27" s="239"/>
      <c r="I27" s="239"/>
      <c r="J27" s="210">
        <v>0</v>
      </c>
      <c r="K27" s="209">
        <v>0</v>
      </c>
      <c r="L27" s="209">
        <v>-507153</v>
      </c>
      <c r="M27" s="209">
        <v>0</v>
      </c>
      <c r="N27" s="242">
        <v>0</v>
      </c>
      <c r="O27" s="239"/>
    </row>
    <row r="28" spans="1:15" ht="23" x14ac:dyDescent="0.35">
      <c r="A28" s="211" t="s">
        <v>187</v>
      </c>
      <c r="B28" s="211" t="s">
        <v>188</v>
      </c>
      <c r="C28" s="209">
        <v>1521424</v>
      </c>
      <c r="D28" s="209">
        <v>0</v>
      </c>
      <c r="E28" s="209">
        <v>0</v>
      </c>
      <c r="F28" s="209">
        <v>1521424</v>
      </c>
      <c r="G28" s="242">
        <v>-1521424</v>
      </c>
      <c r="H28" s="239"/>
      <c r="I28" s="239"/>
      <c r="J28" s="210">
        <v>0</v>
      </c>
      <c r="K28" s="209">
        <v>0</v>
      </c>
      <c r="L28" s="209">
        <v>-1521424</v>
      </c>
      <c r="M28" s="209">
        <v>0</v>
      </c>
      <c r="N28" s="242">
        <v>0</v>
      </c>
      <c r="O28" s="239"/>
    </row>
    <row r="29" spans="1:15" x14ac:dyDescent="0.35">
      <c r="A29" s="211" t="s">
        <v>189</v>
      </c>
      <c r="B29" s="211" t="s">
        <v>190</v>
      </c>
      <c r="C29" s="209">
        <v>594237</v>
      </c>
      <c r="D29" s="209">
        <v>0</v>
      </c>
      <c r="E29" s="209">
        <v>0</v>
      </c>
      <c r="F29" s="209">
        <v>594237</v>
      </c>
      <c r="G29" s="242">
        <v>-594237</v>
      </c>
      <c r="H29" s="239"/>
      <c r="I29" s="239"/>
      <c r="J29" s="210">
        <v>0</v>
      </c>
      <c r="K29" s="209">
        <v>0</v>
      </c>
      <c r="L29" s="209">
        <v>-594237</v>
      </c>
      <c r="M29" s="209">
        <v>0</v>
      </c>
      <c r="N29" s="242">
        <v>0</v>
      </c>
      <c r="O29" s="239"/>
    </row>
    <row r="30" spans="1:15" ht="23" x14ac:dyDescent="0.35">
      <c r="A30" s="211" t="s">
        <v>191</v>
      </c>
      <c r="B30" s="211" t="s">
        <v>192</v>
      </c>
      <c r="C30" s="209">
        <v>742801</v>
      </c>
      <c r="D30" s="209">
        <v>0</v>
      </c>
      <c r="E30" s="209">
        <v>0</v>
      </c>
      <c r="F30" s="209">
        <v>742801</v>
      </c>
      <c r="G30" s="242">
        <v>-742801</v>
      </c>
      <c r="H30" s="239"/>
      <c r="I30" s="239"/>
      <c r="J30" s="210">
        <v>0</v>
      </c>
      <c r="K30" s="209">
        <v>0</v>
      </c>
      <c r="L30" s="209">
        <v>-742801</v>
      </c>
      <c r="M30" s="209">
        <v>0</v>
      </c>
      <c r="N30" s="242">
        <v>0</v>
      </c>
      <c r="O30" s="239"/>
    </row>
    <row r="31" spans="1:15" ht="23" x14ac:dyDescent="0.35">
      <c r="A31" s="211" t="s">
        <v>193</v>
      </c>
      <c r="B31" s="211" t="s">
        <v>194</v>
      </c>
      <c r="C31" s="209">
        <v>742801</v>
      </c>
      <c r="D31" s="209">
        <v>0</v>
      </c>
      <c r="E31" s="209">
        <v>0</v>
      </c>
      <c r="F31" s="209">
        <v>742801</v>
      </c>
      <c r="G31" s="242">
        <v>-742801</v>
      </c>
      <c r="H31" s="239"/>
      <c r="I31" s="239"/>
      <c r="J31" s="210">
        <v>0</v>
      </c>
      <c r="K31" s="209">
        <v>0</v>
      </c>
      <c r="L31" s="209">
        <v>-742801</v>
      </c>
      <c r="M31" s="209">
        <v>0</v>
      </c>
      <c r="N31" s="242">
        <v>0</v>
      </c>
      <c r="O31" s="239"/>
    </row>
    <row r="32" spans="1:15" x14ac:dyDescent="0.35">
      <c r="A32" s="211" t="s">
        <v>195</v>
      </c>
      <c r="B32" s="211" t="s">
        <v>196</v>
      </c>
      <c r="C32" s="209">
        <v>29700</v>
      </c>
      <c r="D32" s="209">
        <v>0</v>
      </c>
      <c r="E32" s="209">
        <v>0</v>
      </c>
      <c r="F32" s="209">
        <v>29700</v>
      </c>
      <c r="G32" s="242">
        <v>-29700</v>
      </c>
      <c r="H32" s="239"/>
      <c r="I32" s="239"/>
      <c r="J32" s="210">
        <v>0</v>
      </c>
      <c r="K32" s="209">
        <v>0</v>
      </c>
      <c r="L32" s="209">
        <v>-29700</v>
      </c>
      <c r="M32" s="209">
        <v>0</v>
      </c>
      <c r="N32" s="242">
        <v>0</v>
      </c>
      <c r="O32" s="239"/>
    </row>
    <row r="33" spans="1:15" x14ac:dyDescent="0.35">
      <c r="A33" s="211" t="s">
        <v>197</v>
      </c>
      <c r="B33" s="211" t="s">
        <v>196</v>
      </c>
      <c r="C33" s="209">
        <v>29700</v>
      </c>
      <c r="D33" s="209">
        <v>0</v>
      </c>
      <c r="E33" s="209">
        <v>0</v>
      </c>
      <c r="F33" s="209">
        <v>29700</v>
      </c>
      <c r="G33" s="242">
        <v>-29700</v>
      </c>
      <c r="H33" s="239"/>
      <c r="I33" s="239"/>
      <c r="J33" s="210">
        <v>0</v>
      </c>
      <c r="K33" s="209">
        <v>0</v>
      </c>
      <c r="L33" s="209">
        <v>-29700</v>
      </c>
      <c r="M33" s="209">
        <v>0</v>
      </c>
      <c r="N33" s="242">
        <v>0</v>
      </c>
      <c r="O33" s="239"/>
    </row>
    <row r="34" spans="1:15" x14ac:dyDescent="0.35">
      <c r="A34" s="211" t="s">
        <v>198</v>
      </c>
      <c r="B34" s="211" t="s">
        <v>199</v>
      </c>
      <c r="C34" s="209">
        <v>1682000</v>
      </c>
      <c r="D34" s="209">
        <v>0</v>
      </c>
      <c r="E34" s="209">
        <v>0</v>
      </c>
      <c r="F34" s="209">
        <v>1682000</v>
      </c>
      <c r="G34" s="242">
        <v>-1682000</v>
      </c>
      <c r="H34" s="239"/>
      <c r="I34" s="239"/>
      <c r="J34" s="210">
        <v>0</v>
      </c>
      <c r="K34" s="209">
        <v>0</v>
      </c>
      <c r="L34" s="209">
        <v>-1682000</v>
      </c>
      <c r="M34" s="209">
        <v>0</v>
      </c>
      <c r="N34" s="242">
        <v>0</v>
      </c>
      <c r="O34" s="239"/>
    </row>
    <row r="35" spans="1:15" ht="23" x14ac:dyDescent="0.35">
      <c r="A35" s="211" t="s">
        <v>200</v>
      </c>
      <c r="B35" s="211" t="s">
        <v>201</v>
      </c>
      <c r="C35" s="209">
        <v>1682000</v>
      </c>
      <c r="D35" s="209">
        <v>0</v>
      </c>
      <c r="E35" s="209">
        <v>0</v>
      </c>
      <c r="F35" s="209">
        <v>1682000</v>
      </c>
      <c r="G35" s="242">
        <v>-1682000</v>
      </c>
      <c r="H35" s="239"/>
      <c r="I35" s="239"/>
      <c r="J35" s="210">
        <v>0</v>
      </c>
      <c r="K35" s="209">
        <v>0</v>
      </c>
      <c r="L35" s="209">
        <v>-1682000</v>
      </c>
      <c r="M35" s="209">
        <v>0</v>
      </c>
      <c r="N35" s="242">
        <v>0</v>
      </c>
      <c r="O35" s="239"/>
    </row>
    <row r="36" spans="1:15" x14ac:dyDescent="0.35">
      <c r="A36" s="211" t="s">
        <v>202</v>
      </c>
      <c r="B36" s="211" t="s">
        <v>203</v>
      </c>
      <c r="C36" s="209">
        <v>6608400</v>
      </c>
      <c r="D36" s="209">
        <v>0</v>
      </c>
      <c r="E36" s="209">
        <v>0</v>
      </c>
      <c r="F36" s="209">
        <v>6608400</v>
      </c>
      <c r="G36" s="242">
        <v>-6608400</v>
      </c>
      <c r="H36" s="239"/>
      <c r="I36" s="239"/>
      <c r="J36" s="210">
        <v>0</v>
      </c>
      <c r="K36" s="209">
        <v>0</v>
      </c>
      <c r="L36" s="209">
        <v>-6608400</v>
      </c>
      <c r="M36" s="209">
        <v>0</v>
      </c>
      <c r="N36" s="242">
        <v>0</v>
      </c>
      <c r="O36" s="239"/>
    </row>
    <row r="37" spans="1:15" x14ac:dyDescent="0.35">
      <c r="A37" s="211" t="s">
        <v>204</v>
      </c>
      <c r="B37" s="211" t="s">
        <v>205</v>
      </c>
      <c r="C37" s="209">
        <v>7138338</v>
      </c>
      <c r="D37" s="209">
        <v>0</v>
      </c>
      <c r="E37" s="209">
        <v>0</v>
      </c>
      <c r="F37" s="209">
        <v>7138338</v>
      </c>
      <c r="G37" s="242">
        <v>-7138338</v>
      </c>
      <c r="H37" s="239"/>
      <c r="I37" s="239"/>
      <c r="J37" s="210">
        <v>0</v>
      </c>
      <c r="K37" s="209">
        <v>0</v>
      </c>
      <c r="L37" s="209">
        <v>-7138338</v>
      </c>
      <c r="M37" s="209">
        <v>0</v>
      </c>
      <c r="N37" s="242">
        <v>0</v>
      </c>
      <c r="O37" s="239"/>
    </row>
    <row r="38" spans="1:15" ht="23" x14ac:dyDescent="0.35">
      <c r="A38" s="211" t="s">
        <v>206</v>
      </c>
      <c r="B38" s="211" t="s">
        <v>207</v>
      </c>
      <c r="C38" s="209">
        <v>1728820</v>
      </c>
      <c r="D38" s="209">
        <v>0</v>
      </c>
      <c r="E38" s="209">
        <v>0</v>
      </c>
      <c r="F38" s="209">
        <v>1728820</v>
      </c>
      <c r="G38" s="242">
        <v>-1728820</v>
      </c>
      <c r="H38" s="239"/>
      <c r="I38" s="239"/>
      <c r="J38" s="210">
        <v>0</v>
      </c>
      <c r="K38" s="209">
        <v>0</v>
      </c>
      <c r="L38" s="209">
        <v>-1728820</v>
      </c>
      <c r="M38" s="209">
        <v>0</v>
      </c>
      <c r="N38" s="242">
        <v>0</v>
      </c>
      <c r="O38" s="239"/>
    </row>
    <row r="39" spans="1:15" ht="23" x14ac:dyDescent="0.35">
      <c r="A39" s="211" t="s">
        <v>208</v>
      </c>
      <c r="B39" s="211" t="s">
        <v>207</v>
      </c>
      <c r="C39" s="209">
        <v>1728820</v>
      </c>
      <c r="D39" s="209">
        <v>0</v>
      </c>
      <c r="E39" s="209">
        <v>0</v>
      </c>
      <c r="F39" s="209">
        <v>1728820</v>
      </c>
      <c r="G39" s="242">
        <v>-1728820</v>
      </c>
      <c r="H39" s="239"/>
      <c r="I39" s="239"/>
      <c r="J39" s="210">
        <v>0</v>
      </c>
      <c r="K39" s="209">
        <v>0</v>
      </c>
      <c r="L39" s="209">
        <v>-1728820</v>
      </c>
      <c r="M39" s="209">
        <v>0</v>
      </c>
      <c r="N39" s="242">
        <v>0</v>
      </c>
      <c r="O39" s="239"/>
    </row>
    <row r="40" spans="1:15" ht="23" x14ac:dyDescent="0.35">
      <c r="A40" s="211" t="s">
        <v>209</v>
      </c>
      <c r="B40" s="211" t="s">
        <v>210</v>
      </c>
      <c r="C40" s="209">
        <v>1728820</v>
      </c>
      <c r="D40" s="209">
        <v>0</v>
      </c>
      <c r="E40" s="209">
        <v>0</v>
      </c>
      <c r="F40" s="209">
        <v>1728820</v>
      </c>
      <c r="G40" s="242">
        <v>-1728820</v>
      </c>
      <c r="H40" s="239"/>
      <c r="I40" s="239"/>
      <c r="J40" s="210">
        <v>0</v>
      </c>
      <c r="K40" s="209">
        <v>0</v>
      </c>
      <c r="L40" s="209">
        <v>-1728820</v>
      </c>
      <c r="M40" s="209">
        <v>0</v>
      </c>
      <c r="N40" s="242">
        <v>0</v>
      </c>
      <c r="O40" s="239"/>
    </row>
    <row r="41" spans="1:15" ht="23" x14ac:dyDescent="0.35">
      <c r="A41" s="211" t="s">
        <v>211</v>
      </c>
      <c r="B41" s="211" t="s">
        <v>212</v>
      </c>
      <c r="C41" s="209">
        <v>530199</v>
      </c>
      <c r="D41" s="209">
        <v>0</v>
      </c>
      <c r="E41" s="209">
        <v>0</v>
      </c>
      <c r="F41" s="209">
        <v>530199</v>
      </c>
      <c r="G41" s="242">
        <v>-530199</v>
      </c>
      <c r="H41" s="239"/>
      <c r="I41" s="239"/>
      <c r="J41" s="210">
        <v>0</v>
      </c>
      <c r="K41" s="209">
        <v>0</v>
      </c>
      <c r="L41" s="209">
        <v>-530199</v>
      </c>
      <c r="M41" s="209">
        <v>0</v>
      </c>
      <c r="N41" s="242">
        <v>0</v>
      </c>
      <c r="O41" s="239"/>
    </row>
    <row r="42" spans="1:15" x14ac:dyDescent="0.35">
      <c r="A42" s="211" t="s">
        <v>213</v>
      </c>
      <c r="B42" s="211" t="s">
        <v>214</v>
      </c>
      <c r="C42" s="209">
        <v>985782.31</v>
      </c>
      <c r="D42" s="209">
        <v>0</v>
      </c>
      <c r="E42" s="209">
        <v>0</v>
      </c>
      <c r="F42" s="209">
        <v>985782.31</v>
      </c>
      <c r="G42" s="242">
        <v>-985781.85</v>
      </c>
      <c r="H42" s="239"/>
      <c r="I42" s="239"/>
      <c r="J42" s="210">
        <v>-0.46</v>
      </c>
      <c r="K42" s="209">
        <v>0</v>
      </c>
      <c r="L42" s="209">
        <v>-985782.31</v>
      </c>
      <c r="M42" s="209">
        <v>0.46</v>
      </c>
      <c r="N42" s="242">
        <v>0</v>
      </c>
      <c r="O42" s="239"/>
    </row>
    <row r="43" spans="1:15" ht="23" x14ac:dyDescent="0.35">
      <c r="A43" s="211" t="s">
        <v>215</v>
      </c>
      <c r="B43" s="211" t="s">
        <v>216</v>
      </c>
      <c r="C43" s="209">
        <v>205203.99</v>
      </c>
      <c r="D43" s="209">
        <v>0</v>
      </c>
      <c r="E43" s="209">
        <v>0</v>
      </c>
      <c r="F43" s="209">
        <v>205203.99</v>
      </c>
      <c r="G43" s="242">
        <v>-205203.99</v>
      </c>
      <c r="H43" s="239"/>
      <c r="I43" s="239"/>
      <c r="J43" s="210">
        <v>0</v>
      </c>
      <c r="K43" s="209">
        <v>0</v>
      </c>
      <c r="L43" s="209">
        <v>-205203.99</v>
      </c>
      <c r="M43" s="209">
        <v>0</v>
      </c>
      <c r="N43" s="242">
        <v>0</v>
      </c>
      <c r="O43" s="239"/>
    </row>
    <row r="44" spans="1:15" ht="23" x14ac:dyDescent="0.35">
      <c r="A44" s="211" t="s">
        <v>217</v>
      </c>
      <c r="B44" s="211" t="s">
        <v>218</v>
      </c>
      <c r="C44" s="209">
        <v>1567000</v>
      </c>
      <c r="D44" s="209">
        <v>0</v>
      </c>
      <c r="E44" s="209">
        <v>0</v>
      </c>
      <c r="F44" s="209">
        <v>1567000</v>
      </c>
      <c r="G44" s="242">
        <v>-1567000</v>
      </c>
      <c r="H44" s="239"/>
      <c r="I44" s="239"/>
      <c r="J44" s="210">
        <v>0</v>
      </c>
      <c r="K44" s="209">
        <v>0</v>
      </c>
      <c r="L44" s="209">
        <v>-1567000</v>
      </c>
      <c r="M44" s="209">
        <v>0</v>
      </c>
      <c r="N44" s="242">
        <v>0</v>
      </c>
      <c r="O44" s="239"/>
    </row>
    <row r="45" spans="1:15" x14ac:dyDescent="0.35">
      <c r="A45" s="211" t="s">
        <v>219</v>
      </c>
      <c r="B45" s="211" t="s">
        <v>220</v>
      </c>
      <c r="C45" s="209">
        <v>1264347.94</v>
      </c>
      <c r="D45" s="209">
        <v>0</v>
      </c>
      <c r="E45" s="209">
        <v>0</v>
      </c>
      <c r="F45" s="209">
        <v>1264347.94</v>
      </c>
      <c r="G45" s="242">
        <v>-1264347.94</v>
      </c>
      <c r="H45" s="239"/>
      <c r="I45" s="239"/>
      <c r="J45" s="210">
        <v>0</v>
      </c>
      <c r="K45" s="209">
        <v>0</v>
      </c>
      <c r="L45" s="209">
        <v>-1264347.94</v>
      </c>
      <c r="M45" s="209">
        <v>0</v>
      </c>
      <c r="N45" s="242">
        <v>0</v>
      </c>
      <c r="O45" s="239"/>
    </row>
    <row r="46" spans="1:15" x14ac:dyDescent="0.35">
      <c r="A46" s="211" t="s">
        <v>221</v>
      </c>
      <c r="B46" s="211" t="s">
        <v>222</v>
      </c>
      <c r="C46" s="209">
        <v>500306</v>
      </c>
      <c r="D46" s="209">
        <v>0</v>
      </c>
      <c r="E46" s="209">
        <v>0</v>
      </c>
      <c r="F46" s="209">
        <v>500306</v>
      </c>
      <c r="G46" s="242">
        <v>-500306</v>
      </c>
      <c r="H46" s="239"/>
      <c r="I46" s="239"/>
      <c r="J46" s="210">
        <v>0</v>
      </c>
      <c r="K46" s="209">
        <v>0</v>
      </c>
      <c r="L46" s="209">
        <v>-500306</v>
      </c>
      <c r="M46" s="209">
        <v>0</v>
      </c>
      <c r="N46" s="242">
        <v>0</v>
      </c>
      <c r="O46" s="239"/>
    </row>
    <row r="47" spans="1:15" ht="23" x14ac:dyDescent="0.35">
      <c r="A47" s="211" t="s">
        <v>223</v>
      </c>
      <c r="B47" s="211" t="s">
        <v>224</v>
      </c>
      <c r="C47" s="209">
        <v>1567000</v>
      </c>
      <c r="D47" s="209">
        <v>0</v>
      </c>
      <c r="E47" s="209">
        <v>0</v>
      </c>
      <c r="F47" s="209">
        <v>1567000</v>
      </c>
      <c r="G47" s="242">
        <v>-1567000</v>
      </c>
      <c r="H47" s="239"/>
      <c r="I47" s="239"/>
      <c r="J47" s="210">
        <v>0</v>
      </c>
      <c r="K47" s="209">
        <v>0</v>
      </c>
      <c r="L47" s="209">
        <v>-1567000</v>
      </c>
      <c r="M47" s="209">
        <v>0</v>
      </c>
      <c r="N47" s="242">
        <v>0</v>
      </c>
      <c r="O47" s="239"/>
    </row>
    <row r="48" spans="1:15" x14ac:dyDescent="0.35">
      <c r="A48" s="211" t="s">
        <v>225</v>
      </c>
      <c r="B48" s="211" t="s">
        <v>226</v>
      </c>
      <c r="C48" s="209">
        <v>750224</v>
      </c>
      <c r="D48" s="209">
        <v>0</v>
      </c>
      <c r="E48" s="209">
        <v>0</v>
      </c>
      <c r="F48" s="209">
        <v>750224</v>
      </c>
      <c r="G48" s="242">
        <v>-750224</v>
      </c>
      <c r="H48" s="239"/>
      <c r="I48" s="239"/>
      <c r="J48" s="210">
        <v>0</v>
      </c>
      <c r="K48" s="209">
        <v>0</v>
      </c>
      <c r="L48" s="209">
        <v>-750224</v>
      </c>
      <c r="M48" s="209">
        <v>0</v>
      </c>
      <c r="N48" s="242">
        <v>0</v>
      </c>
      <c r="O48" s="239"/>
    </row>
    <row r="49" spans="1:15" x14ac:dyDescent="0.35">
      <c r="A49" s="211" t="s">
        <v>227</v>
      </c>
      <c r="B49" s="211" t="s">
        <v>228</v>
      </c>
      <c r="C49" s="209">
        <v>654354</v>
      </c>
      <c r="D49" s="209">
        <v>0</v>
      </c>
      <c r="E49" s="209">
        <v>0</v>
      </c>
      <c r="F49" s="209">
        <v>654354</v>
      </c>
      <c r="G49" s="242">
        <v>-654354</v>
      </c>
      <c r="H49" s="239"/>
      <c r="I49" s="239"/>
      <c r="J49" s="210">
        <v>0</v>
      </c>
      <c r="K49" s="209">
        <v>0</v>
      </c>
      <c r="L49" s="209">
        <v>-654354</v>
      </c>
      <c r="M49" s="209">
        <v>0</v>
      </c>
      <c r="N49" s="242">
        <v>0</v>
      </c>
      <c r="O49" s="239"/>
    </row>
    <row r="50" spans="1:15" x14ac:dyDescent="0.35">
      <c r="A50" s="211" t="s">
        <v>229</v>
      </c>
      <c r="B50" s="211" t="s">
        <v>230</v>
      </c>
      <c r="C50" s="209">
        <v>654354</v>
      </c>
      <c r="D50" s="209">
        <v>0</v>
      </c>
      <c r="E50" s="209">
        <v>0</v>
      </c>
      <c r="F50" s="209">
        <v>654354</v>
      </c>
      <c r="G50" s="242">
        <v>-654354</v>
      </c>
      <c r="H50" s="239"/>
      <c r="I50" s="239"/>
      <c r="J50" s="210">
        <v>0</v>
      </c>
      <c r="K50" s="209">
        <v>0</v>
      </c>
      <c r="L50" s="209">
        <v>-654354</v>
      </c>
      <c r="M50" s="209">
        <v>0</v>
      </c>
      <c r="N50" s="242">
        <v>0</v>
      </c>
      <c r="O50" s="239"/>
    </row>
    <row r="51" spans="1:15" x14ac:dyDescent="0.35">
      <c r="A51" s="211" t="s">
        <v>231</v>
      </c>
      <c r="B51" s="211" t="s">
        <v>232</v>
      </c>
      <c r="C51" s="209">
        <v>654354</v>
      </c>
      <c r="D51" s="209">
        <v>0</v>
      </c>
      <c r="E51" s="209">
        <v>0</v>
      </c>
      <c r="F51" s="209">
        <v>654354</v>
      </c>
      <c r="G51" s="242">
        <v>-654354</v>
      </c>
      <c r="H51" s="239"/>
      <c r="I51" s="239"/>
      <c r="J51" s="210">
        <v>0</v>
      </c>
      <c r="K51" s="209">
        <v>0</v>
      </c>
      <c r="L51" s="209">
        <v>-654354</v>
      </c>
      <c r="M51" s="209">
        <v>0</v>
      </c>
      <c r="N51" s="242">
        <v>0</v>
      </c>
      <c r="O51" s="239"/>
    </row>
    <row r="52" spans="1:15" x14ac:dyDescent="0.35">
      <c r="A52" s="211" t="s">
        <v>233</v>
      </c>
      <c r="B52" s="211" t="s">
        <v>234</v>
      </c>
      <c r="C52" s="209">
        <v>654354</v>
      </c>
      <c r="D52" s="209">
        <v>0</v>
      </c>
      <c r="E52" s="209">
        <v>0</v>
      </c>
      <c r="F52" s="209">
        <v>654354</v>
      </c>
      <c r="G52" s="242">
        <v>-654354</v>
      </c>
      <c r="H52" s="239"/>
      <c r="I52" s="239"/>
      <c r="J52" s="210">
        <v>0</v>
      </c>
      <c r="K52" s="209">
        <v>0</v>
      </c>
      <c r="L52" s="209">
        <v>-654354</v>
      </c>
      <c r="M52" s="209">
        <v>0</v>
      </c>
      <c r="N52" s="242">
        <v>0</v>
      </c>
      <c r="O52" s="239"/>
    </row>
    <row r="53" spans="1:15" x14ac:dyDescent="0.35">
      <c r="A53" s="211" t="s">
        <v>235</v>
      </c>
      <c r="B53" s="211" t="s">
        <v>236</v>
      </c>
      <c r="C53" s="209">
        <v>654354</v>
      </c>
      <c r="D53" s="209">
        <v>0</v>
      </c>
      <c r="E53" s="209">
        <v>0</v>
      </c>
      <c r="F53" s="209">
        <v>654354</v>
      </c>
      <c r="G53" s="242">
        <v>-654354</v>
      </c>
      <c r="H53" s="239"/>
      <c r="I53" s="239"/>
      <c r="J53" s="210">
        <v>0</v>
      </c>
      <c r="K53" s="209">
        <v>0</v>
      </c>
      <c r="L53" s="209">
        <v>-654354</v>
      </c>
      <c r="M53" s="209">
        <v>0</v>
      </c>
      <c r="N53" s="242">
        <v>0</v>
      </c>
      <c r="O53" s="239"/>
    </row>
    <row r="54" spans="1:15" x14ac:dyDescent="0.35">
      <c r="A54" s="211" t="s">
        <v>237</v>
      </c>
      <c r="B54" s="211" t="s">
        <v>238</v>
      </c>
      <c r="C54" s="209">
        <v>654354</v>
      </c>
      <c r="D54" s="209">
        <v>0</v>
      </c>
      <c r="E54" s="209">
        <v>0</v>
      </c>
      <c r="F54" s="209">
        <v>654354</v>
      </c>
      <c r="G54" s="242">
        <v>-654354</v>
      </c>
      <c r="H54" s="239"/>
      <c r="I54" s="239"/>
      <c r="J54" s="210">
        <v>0</v>
      </c>
      <c r="K54" s="209">
        <v>0</v>
      </c>
      <c r="L54" s="209">
        <v>-654354</v>
      </c>
      <c r="M54" s="209">
        <v>0</v>
      </c>
      <c r="N54" s="242">
        <v>0</v>
      </c>
      <c r="O54" s="239"/>
    </row>
    <row r="55" spans="1:15" x14ac:dyDescent="0.35">
      <c r="A55" s="211" t="s">
        <v>239</v>
      </c>
      <c r="B55" s="211" t="s">
        <v>240</v>
      </c>
      <c r="C55" s="209">
        <v>654354</v>
      </c>
      <c r="D55" s="209">
        <v>0</v>
      </c>
      <c r="E55" s="209">
        <v>0</v>
      </c>
      <c r="F55" s="209">
        <v>654354</v>
      </c>
      <c r="G55" s="242">
        <v>-654354</v>
      </c>
      <c r="H55" s="239"/>
      <c r="I55" s="239"/>
      <c r="J55" s="210">
        <v>0</v>
      </c>
      <c r="K55" s="209">
        <v>0</v>
      </c>
      <c r="L55" s="209">
        <v>-654354</v>
      </c>
      <c r="M55" s="209">
        <v>0</v>
      </c>
      <c r="N55" s="242">
        <v>0</v>
      </c>
      <c r="O55" s="239"/>
    </row>
    <row r="56" spans="1:15" x14ac:dyDescent="0.35">
      <c r="A56" s="211" t="s">
        <v>241</v>
      </c>
      <c r="B56" s="211" t="s">
        <v>242</v>
      </c>
      <c r="C56" s="209">
        <v>654354</v>
      </c>
      <c r="D56" s="209">
        <v>0</v>
      </c>
      <c r="E56" s="209">
        <v>0</v>
      </c>
      <c r="F56" s="209">
        <v>654354</v>
      </c>
      <c r="G56" s="242">
        <v>-654354</v>
      </c>
      <c r="H56" s="239"/>
      <c r="I56" s="239"/>
      <c r="J56" s="210">
        <v>0</v>
      </c>
      <c r="K56" s="209">
        <v>0</v>
      </c>
      <c r="L56" s="209">
        <v>-654354</v>
      </c>
      <c r="M56" s="209">
        <v>0</v>
      </c>
      <c r="N56" s="242">
        <v>0</v>
      </c>
      <c r="O56" s="239"/>
    </row>
    <row r="57" spans="1:15" x14ac:dyDescent="0.35">
      <c r="A57" s="211" t="s">
        <v>243</v>
      </c>
      <c r="B57" s="211" t="s">
        <v>244</v>
      </c>
      <c r="C57" s="209">
        <v>654354</v>
      </c>
      <c r="D57" s="209">
        <v>0</v>
      </c>
      <c r="E57" s="209">
        <v>0</v>
      </c>
      <c r="F57" s="209">
        <v>654354</v>
      </c>
      <c r="G57" s="242">
        <v>-654354</v>
      </c>
      <c r="H57" s="239"/>
      <c r="I57" s="239"/>
      <c r="J57" s="210">
        <v>0</v>
      </c>
      <c r="K57" s="209">
        <v>0</v>
      </c>
      <c r="L57" s="209">
        <v>-654354</v>
      </c>
      <c r="M57" s="209">
        <v>0</v>
      </c>
      <c r="N57" s="242">
        <v>0</v>
      </c>
      <c r="O57" s="239"/>
    </row>
    <row r="58" spans="1:15" x14ac:dyDescent="0.35">
      <c r="A58" s="211" t="s">
        <v>245</v>
      </c>
      <c r="B58" s="211" t="s">
        <v>246</v>
      </c>
      <c r="C58" s="209">
        <v>654354</v>
      </c>
      <c r="D58" s="209">
        <v>0</v>
      </c>
      <c r="E58" s="209">
        <v>0</v>
      </c>
      <c r="F58" s="209">
        <v>654354</v>
      </c>
      <c r="G58" s="242">
        <v>-654354</v>
      </c>
      <c r="H58" s="239"/>
      <c r="I58" s="239"/>
      <c r="J58" s="210">
        <v>0</v>
      </c>
      <c r="K58" s="209">
        <v>0</v>
      </c>
      <c r="L58" s="209">
        <v>-654354</v>
      </c>
      <c r="M58" s="209">
        <v>0</v>
      </c>
      <c r="N58" s="242">
        <v>0</v>
      </c>
      <c r="O58" s="239"/>
    </row>
    <row r="59" spans="1:15" x14ac:dyDescent="0.35">
      <c r="A59" s="211" t="s">
        <v>247</v>
      </c>
      <c r="B59" s="211" t="s">
        <v>248</v>
      </c>
      <c r="C59" s="209">
        <v>654354</v>
      </c>
      <c r="D59" s="209">
        <v>0</v>
      </c>
      <c r="E59" s="209">
        <v>0</v>
      </c>
      <c r="F59" s="209">
        <v>654354</v>
      </c>
      <c r="G59" s="242">
        <v>-654354</v>
      </c>
      <c r="H59" s="239"/>
      <c r="I59" s="239"/>
      <c r="J59" s="210">
        <v>0</v>
      </c>
      <c r="K59" s="209">
        <v>0</v>
      </c>
      <c r="L59" s="209">
        <v>-654354</v>
      </c>
      <c r="M59" s="209">
        <v>0</v>
      </c>
      <c r="N59" s="242">
        <v>0</v>
      </c>
      <c r="O59" s="239"/>
    </row>
    <row r="60" spans="1:15" x14ac:dyDescent="0.35">
      <c r="A60" s="211" t="s">
        <v>249</v>
      </c>
      <c r="B60" s="211" t="s">
        <v>250</v>
      </c>
      <c r="C60" s="209">
        <v>654354</v>
      </c>
      <c r="D60" s="209">
        <v>0</v>
      </c>
      <c r="E60" s="209">
        <v>0</v>
      </c>
      <c r="F60" s="209">
        <v>654354</v>
      </c>
      <c r="G60" s="242">
        <v>-654354</v>
      </c>
      <c r="H60" s="239"/>
      <c r="I60" s="239"/>
      <c r="J60" s="210">
        <v>0</v>
      </c>
      <c r="K60" s="209">
        <v>0</v>
      </c>
      <c r="L60" s="209">
        <v>-654354</v>
      </c>
      <c r="M60" s="209">
        <v>0</v>
      </c>
      <c r="N60" s="242">
        <v>0</v>
      </c>
      <c r="O60" s="239"/>
    </row>
    <row r="61" spans="1:15" x14ac:dyDescent="0.35">
      <c r="A61" s="211" t="s">
        <v>251</v>
      </c>
      <c r="B61" s="211" t="s">
        <v>252</v>
      </c>
      <c r="C61" s="209">
        <v>654354</v>
      </c>
      <c r="D61" s="209">
        <v>0</v>
      </c>
      <c r="E61" s="209">
        <v>0</v>
      </c>
      <c r="F61" s="209">
        <v>654354</v>
      </c>
      <c r="G61" s="242">
        <v>-654354</v>
      </c>
      <c r="H61" s="239"/>
      <c r="I61" s="239"/>
      <c r="J61" s="210">
        <v>0</v>
      </c>
      <c r="K61" s="209">
        <v>0</v>
      </c>
      <c r="L61" s="209">
        <v>-654354</v>
      </c>
      <c r="M61" s="209">
        <v>0</v>
      </c>
      <c r="N61" s="242">
        <v>0</v>
      </c>
      <c r="O61" s="239"/>
    </row>
    <row r="62" spans="1:15" x14ac:dyDescent="0.35">
      <c r="A62" s="211" t="s">
        <v>253</v>
      </c>
      <c r="B62" s="211" t="s">
        <v>254</v>
      </c>
      <c r="C62" s="209">
        <v>654354</v>
      </c>
      <c r="D62" s="209">
        <v>0</v>
      </c>
      <c r="E62" s="209">
        <v>0</v>
      </c>
      <c r="F62" s="209">
        <v>654354</v>
      </c>
      <c r="G62" s="242">
        <v>-654354</v>
      </c>
      <c r="H62" s="239"/>
      <c r="I62" s="239"/>
      <c r="J62" s="210">
        <v>0</v>
      </c>
      <c r="K62" s="209">
        <v>0</v>
      </c>
      <c r="L62" s="209">
        <v>-654354</v>
      </c>
      <c r="M62" s="209">
        <v>0</v>
      </c>
      <c r="N62" s="242">
        <v>0</v>
      </c>
      <c r="O62" s="239"/>
    </row>
    <row r="63" spans="1:15" x14ac:dyDescent="0.35">
      <c r="A63" s="211" t="s">
        <v>255</v>
      </c>
      <c r="B63" s="211" t="s">
        <v>256</v>
      </c>
      <c r="C63" s="209">
        <v>654354</v>
      </c>
      <c r="D63" s="209">
        <v>0</v>
      </c>
      <c r="E63" s="209">
        <v>0</v>
      </c>
      <c r="F63" s="209">
        <v>654354</v>
      </c>
      <c r="G63" s="242">
        <v>-654354</v>
      </c>
      <c r="H63" s="239"/>
      <c r="I63" s="239"/>
      <c r="J63" s="210">
        <v>0</v>
      </c>
      <c r="K63" s="209">
        <v>0</v>
      </c>
      <c r="L63" s="209">
        <v>-654354</v>
      </c>
      <c r="M63" s="209">
        <v>0</v>
      </c>
      <c r="N63" s="242">
        <v>0</v>
      </c>
      <c r="O63" s="239"/>
    </row>
    <row r="64" spans="1:15" x14ac:dyDescent="0.35">
      <c r="A64" s="211" t="s">
        <v>257</v>
      </c>
      <c r="B64" s="211" t="s">
        <v>258</v>
      </c>
      <c r="C64" s="209">
        <v>654354</v>
      </c>
      <c r="D64" s="209">
        <v>0</v>
      </c>
      <c r="E64" s="209">
        <v>0</v>
      </c>
      <c r="F64" s="209">
        <v>654354</v>
      </c>
      <c r="G64" s="242">
        <v>-654354</v>
      </c>
      <c r="H64" s="239"/>
      <c r="I64" s="239"/>
      <c r="J64" s="210">
        <v>0</v>
      </c>
      <c r="K64" s="209">
        <v>0</v>
      </c>
      <c r="L64" s="209">
        <v>-654354</v>
      </c>
      <c r="M64" s="209">
        <v>0</v>
      </c>
      <c r="N64" s="242">
        <v>0</v>
      </c>
      <c r="O64" s="239"/>
    </row>
    <row r="65" spans="1:15" x14ac:dyDescent="0.35">
      <c r="A65" s="211" t="s">
        <v>259</v>
      </c>
      <c r="B65" s="211" t="s">
        <v>260</v>
      </c>
      <c r="C65" s="209">
        <v>654354</v>
      </c>
      <c r="D65" s="209">
        <v>0</v>
      </c>
      <c r="E65" s="209">
        <v>0</v>
      </c>
      <c r="F65" s="209">
        <v>654354</v>
      </c>
      <c r="G65" s="242">
        <v>-654354</v>
      </c>
      <c r="H65" s="239"/>
      <c r="I65" s="239"/>
      <c r="J65" s="210">
        <v>0</v>
      </c>
      <c r="K65" s="209">
        <v>0</v>
      </c>
      <c r="L65" s="209">
        <v>-654354</v>
      </c>
      <c r="M65" s="209">
        <v>0</v>
      </c>
      <c r="N65" s="242">
        <v>0</v>
      </c>
      <c r="O65" s="239"/>
    </row>
    <row r="66" spans="1:15" x14ac:dyDescent="0.35">
      <c r="A66" s="211" t="s">
        <v>261</v>
      </c>
      <c r="B66" s="211" t="s">
        <v>262</v>
      </c>
      <c r="C66" s="209">
        <v>654354</v>
      </c>
      <c r="D66" s="209">
        <v>0</v>
      </c>
      <c r="E66" s="209">
        <v>0</v>
      </c>
      <c r="F66" s="209">
        <v>654354</v>
      </c>
      <c r="G66" s="242">
        <v>-654354</v>
      </c>
      <c r="H66" s="239"/>
      <c r="I66" s="239"/>
      <c r="J66" s="210">
        <v>0</v>
      </c>
      <c r="K66" s="209">
        <v>0</v>
      </c>
      <c r="L66" s="209">
        <v>-654354</v>
      </c>
      <c r="M66" s="209">
        <v>0</v>
      </c>
      <c r="N66" s="242">
        <v>0</v>
      </c>
      <c r="O66" s="239"/>
    </row>
    <row r="67" spans="1:15" x14ac:dyDescent="0.35">
      <c r="A67" s="211" t="s">
        <v>263</v>
      </c>
      <c r="B67" s="211" t="s">
        <v>264</v>
      </c>
      <c r="C67" s="209">
        <v>654354</v>
      </c>
      <c r="D67" s="209">
        <v>0</v>
      </c>
      <c r="E67" s="209">
        <v>0</v>
      </c>
      <c r="F67" s="209">
        <v>654354</v>
      </c>
      <c r="G67" s="242">
        <v>-654353.54</v>
      </c>
      <c r="H67" s="239"/>
      <c r="I67" s="239"/>
      <c r="J67" s="210">
        <v>0</v>
      </c>
      <c r="K67" s="209">
        <v>0</v>
      </c>
      <c r="L67" s="209">
        <v>-654353.54</v>
      </c>
      <c r="M67" s="209">
        <v>0.46</v>
      </c>
      <c r="N67" s="242">
        <v>0.46</v>
      </c>
      <c r="O67" s="239"/>
    </row>
    <row r="68" spans="1:15" x14ac:dyDescent="0.35">
      <c r="A68" s="211" t="s">
        <v>265</v>
      </c>
      <c r="B68" s="211" t="s">
        <v>266</v>
      </c>
      <c r="C68" s="209">
        <v>654353</v>
      </c>
      <c r="D68" s="209">
        <v>0</v>
      </c>
      <c r="E68" s="209">
        <v>0</v>
      </c>
      <c r="F68" s="209">
        <v>654353</v>
      </c>
      <c r="G68" s="242">
        <v>-654353</v>
      </c>
      <c r="H68" s="239"/>
      <c r="I68" s="239"/>
      <c r="J68" s="210">
        <v>0</v>
      </c>
      <c r="K68" s="209">
        <v>0</v>
      </c>
      <c r="L68" s="209">
        <v>-654353</v>
      </c>
      <c r="M68" s="209">
        <v>0</v>
      </c>
      <c r="N68" s="242">
        <v>0</v>
      </c>
      <c r="O68" s="239"/>
    </row>
    <row r="69" spans="1:15" x14ac:dyDescent="0.35">
      <c r="A69" s="211" t="s">
        <v>267</v>
      </c>
      <c r="B69" s="211" t="s">
        <v>268</v>
      </c>
      <c r="C69" s="209">
        <v>654353</v>
      </c>
      <c r="D69" s="209">
        <v>0</v>
      </c>
      <c r="E69" s="209">
        <v>0</v>
      </c>
      <c r="F69" s="209">
        <v>654353</v>
      </c>
      <c r="G69" s="242">
        <v>-654353</v>
      </c>
      <c r="H69" s="239"/>
      <c r="I69" s="239"/>
      <c r="J69" s="210">
        <v>0</v>
      </c>
      <c r="K69" s="209">
        <v>0</v>
      </c>
      <c r="L69" s="209">
        <v>-654353</v>
      </c>
      <c r="M69" s="209">
        <v>0</v>
      </c>
      <c r="N69" s="242">
        <v>0</v>
      </c>
      <c r="O69" s="239"/>
    </row>
    <row r="70" spans="1:15" x14ac:dyDescent="0.35">
      <c r="A70" s="211" t="s">
        <v>269</v>
      </c>
      <c r="B70" s="211" t="s">
        <v>270</v>
      </c>
      <c r="C70" s="209">
        <v>654353</v>
      </c>
      <c r="D70" s="209">
        <v>0</v>
      </c>
      <c r="E70" s="209">
        <v>0</v>
      </c>
      <c r="F70" s="209">
        <v>654353</v>
      </c>
      <c r="G70" s="242">
        <v>-654353</v>
      </c>
      <c r="H70" s="239"/>
      <c r="I70" s="239"/>
      <c r="J70" s="210">
        <v>0</v>
      </c>
      <c r="K70" s="209">
        <v>0</v>
      </c>
      <c r="L70" s="209">
        <v>-654353</v>
      </c>
      <c r="M70" s="209">
        <v>0</v>
      </c>
      <c r="N70" s="242">
        <v>0</v>
      </c>
      <c r="O70" s="239"/>
    </row>
    <row r="71" spans="1:15" x14ac:dyDescent="0.35">
      <c r="A71" s="211" t="s">
        <v>271</v>
      </c>
      <c r="B71" s="211" t="s">
        <v>272</v>
      </c>
      <c r="C71" s="209">
        <v>654353</v>
      </c>
      <c r="D71" s="209">
        <v>0</v>
      </c>
      <c r="E71" s="209">
        <v>0</v>
      </c>
      <c r="F71" s="209">
        <v>654353</v>
      </c>
      <c r="G71" s="242">
        <v>-654353</v>
      </c>
      <c r="H71" s="239"/>
      <c r="I71" s="239"/>
      <c r="J71" s="210">
        <v>0</v>
      </c>
      <c r="K71" s="209">
        <v>0</v>
      </c>
      <c r="L71" s="209">
        <v>-654353</v>
      </c>
      <c r="M71" s="209">
        <v>0</v>
      </c>
      <c r="N71" s="242">
        <v>0</v>
      </c>
      <c r="O71" s="239"/>
    </row>
    <row r="72" spans="1:15" x14ac:dyDescent="0.35">
      <c r="A72" s="211" t="s">
        <v>273</v>
      </c>
      <c r="B72" s="211" t="s">
        <v>274</v>
      </c>
      <c r="C72" s="209">
        <v>654353</v>
      </c>
      <c r="D72" s="209">
        <v>0</v>
      </c>
      <c r="E72" s="209">
        <v>0</v>
      </c>
      <c r="F72" s="209">
        <v>654353</v>
      </c>
      <c r="G72" s="242">
        <v>-654353</v>
      </c>
      <c r="H72" s="239"/>
      <c r="I72" s="239"/>
      <c r="J72" s="210">
        <v>0</v>
      </c>
      <c r="K72" s="209">
        <v>0</v>
      </c>
      <c r="L72" s="209">
        <v>-654353</v>
      </c>
      <c r="M72" s="209">
        <v>0</v>
      </c>
      <c r="N72" s="242">
        <v>0</v>
      </c>
      <c r="O72" s="239"/>
    </row>
    <row r="73" spans="1:15" x14ac:dyDescent="0.35">
      <c r="A73" s="211" t="s">
        <v>275</v>
      </c>
      <c r="B73" s="211" t="s">
        <v>276</v>
      </c>
      <c r="C73" s="209">
        <v>654353</v>
      </c>
      <c r="D73" s="209">
        <v>0</v>
      </c>
      <c r="E73" s="209">
        <v>0</v>
      </c>
      <c r="F73" s="209">
        <v>654353</v>
      </c>
      <c r="G73" s="242">
        <v>-654353</v>
      </c>
      <c r="H73" s="239"/>
      <c r="I73" s="239"/>
      <c r="J73" s="210">
        <v>0</v>
      </c>
      <c r="K73" s="209">
        <v>0</v>
      </c>
      <c r="L73" s="209">
        <v>-654353</v>
      </c>
      <c r="M73" s="209">
        <v>0</v>
      </c>
      <c r="N73" s="242">
        <v>0</v>
      </c>
      <c r="O73" s="239"/>
    </row>
    <row r="74" spans="1:15" x14ac:dyDescent="0.35">
      <c r="A74" s="211" t="s">
        <v>277</v>
      </c>
      <c r="B74" s="211" t="s">
        <v>278</v>
      </c>
      <c r="C74" s="209">
        <v>654353</v>
      </c>
      <c r="D74" s="209">
        <v>0</v>
      </c>
      <c r="E74" s="209">
        <v>0</v>
      </c>
      <c r="F74" s="209">
        <v>654353</v>
      </c>
      <c r="G74" s="242">
        <v>-654353</v>
      </c>
      <c r="H74" s="239"/>
      <c r="I74" s="239"/>
      <c r="J74" s="210">
        <v>0</v>
      </c>
      <c r="K74" s="209">
        <v>0</v>
      </c>
      <c r="L74" s="209">
        <v>-654353</v>
      </c>
      <c r="M74" s="209">
        <v>0</v>
      </c>
      <c r="N74" s="242">
        <v>0</v>
      </c>
      <c r="O74" s="239"/>
    </row>
    <row r="75" spans="1:15" x14ac:dyDescent="0.35">
      <c r="A75" s="211" t="s">
        <v>279</v>
      </c>
      <c r="B75" s="211" t="s">
        <v>280</v>
      </c>
      <c r="C75" s="209">
        <v>654353</v>
      </c>
      <c r="D75" s="209">
        <v>0</v>
      </c>
      <c r="E75" s="209">
        <v>0</v>
      </c>
      <c r="F75" s="209">
        <v>654353</v>
      </c>
      <c r="G75" s="242">
        <v>-654353</v>
      </c>
      <c r="H75" s="239"/>
      <c r="I75" s="239"/>
      <c r="J75" s="210">
        <v>0</v>
      </c>
      <c r="K75" s="209">
        <v>0</v>
      </c>
      <c r="L75" s="209">
        <v>-654353</v>
      </c>
      <c r="M75" s="209">
        <v>0</v>
      </c>
      <c r="N75" s="242">
        <v>0</v>
      </c>
      <c r="O75" s="239"/>
    </row>
    <row r="76" spans="1:15" x14ac:dyDescent="0.35">
      <c r="A76" s="211" t="s">
        <v>281</v>
      </c>
      <c r="B76" s="211" t="s">
        <v>282</v>
      </c>
      <c r="C76" s="209">
        <v>654353</v>
      </c>
      <c r="D76" s="209">
        <v>0</v>
      </c>
      <c r="E76" s="209">
        <v>0</v>
      </c>
      <c r="F76" s="209">
        <v>654353</v>
      </c>
      <c r="G76" s="242">
        <v>-654353</v>
      </c>
      <c r="H76" s="239"/>
      <c r="I76" s="239"/>
      <c r="J76" s="210">
        <v>0</v>
      </c>
      <c r="K76" s="209">
        <v>0</v>
      </c>
      <c r="L76" s="209">
        <v>-654353</v>
      </c>
      <c r="M76" s="209">
        <v>0</v>
      </c>
      <c r="N76" s="242">
        <v>0</v>
      </c>
      <c r="O76" s="239"/>
    </row>
    <row r="77" spans="1:15" x14ac:dyDescent="0.35">
      <c r="A77" s="211" t="s">
        <v>283</v>
      </c>
      <c r="B77" s="211" t="s">
        <v>284</v>
      </c>
      <c r="C77" s="209">
        <v>654353</v>
      </c>
      <c r="D77" s="209">
        <v>0</v>
      </c>
      <c r="E77" s="209">
        <v>0</v>
      </c>
      <c r="F77" s="209">
        <v>654353</v>
      </c>
      <c r="G77" s="242">
        <v>-654353</v>
      </c>
      <c r="H77" s="239"/>
      <c r="I77" s="239"/>
      <c r="J77" s="210">
        <v>0</v>
      </c>
      <c r="K77" s="209">
        <v>0</v>
      </c>
      <c r="L77" s="209">
        <v>-654353</v>
      </c>
      <c r="M77" s="209">
        <v>0</v>
      </c>
      <c r="N77" s="242">
        <v>0</v>
      </c>
      <c r="O77" s="239"/>
    </row>
    <row r="78" spans="1:15" x14ac:dyDescent="0.35">
      <c r="A78" s="211" t="s">
        <v>285</v>
      </c>
      <c r="B78" s="211" t="s">
        <v>286</v>
      </c>
      <c r="C78" s="209">
        <v>654353</v>
      </c>
      <c r="D78" s="209">
        <v>0</v>
      </c>
      <c r="E78" s="209">
        <v>0</v>
      </c>
      <c r="F78" s="209">
        <v>654353</v>
      </c>
      <c r="G78" s="242">
        <v>-654353</v>
      </c>
      <c r="H78" s="239"/>
      <c r="I78" s="239"/>
      <c r="J78" s="210">
        <v>0</v>
      </c>
      <c r="K78" s="209">
        <v>0</v>
      </c>
      <c r="L78" s="209">
        <v>-654353</v>
      </c>
      <c r="M78" s="209">
        <v>0</v>
      </c>
      <c r="N78" s="242">
        <v>0</v>
      </c>
      <c r="O78" s="239"/>
    </row>
    <row r="79" spans="1:15" x14ac:dyDescent="0.35">
      <c r="A79" s="211" t="s">
        <v>287</v>
      </c>
      <c r="B79" s="211" t="s">
        <v>288</v>
      </c>
      <c r="C79" s="209">
        <v>654353</v>
      </c>
      <c r="D79" s="209">
        <v>0</v>
      </c>
      <c r="E79" s="209">
        <v>0</v>
      </c>
      <c r="F79" s="209">
        <v>654353</v>
      </c>
      <c r="G79" s="242">
        <v>-654353</v>
      </c>
      <c r="H79" s="239"/>
      <c r="I79" s="239"/>
      <c r="J79" s="210">
        <v>0</v>
      </c>
      <c r="K79" s="209">
        <v>0</v>
      </c>
      <c r="L79" s="209">
        <v>-654353</v>
      </c>
      <c r="M79" s="209">
        <v>0</v>
      </c>
      <c r="N79" s="242">
        <v>0</v>
      </c>
      <c r="O79" s="239"/>
    </row>
    <row r="80" spans="1:15" x14ac:dyDescent="0.35">
      <c r="A80" s="211" t="s">
        <v>289</v>
      </c>
      <c r="B80" s="211" t="s">
        <v>290</v>
      </c>
      <c r="C80" s="209">
        <v>654353</v>
      </c>
      <c r="D80" s="209">
        <v>0</v>
      </c>
      <c r="E80" s="209">
        <v>0</v>
      </c>
      <c r="F80" s="209">
        <v>654353</v>
      </c>
      <c r="G80" s="242">
        <v>-654353</v>
      </c>
      <c r="H80" s="239"/>
      <c r="I80" s="239"/>
      <c r="J80" s="210">
        <v>0</v>
      </c>
      <c r="K80" s="209">
        <v>0</v>
      </c>
      <c r="L80" s="209">
        <v>-654353</v>
      </c>
      <c r="M80" s="209">
        <v>0</v>
      </c>
      <c r="N80" s="242">
        <v>0</v>
      </c>
      <c r="O80" s="239"/>
    </row>
    <row r="81" spans="1:15" x14ac:dyDescent="0.35">
      <c r="A81" s="211" t="s">
        <v>291</v>
      </c>
      <c r="B81" s="211" t="s">
        <v>292</v>
      </c>
      <c r="C81" s="209">
        <v>654353</v>
      </c>
      <c r="D81" s="209">
        <v>0</v>
      </c>
      <c r="E81" s="209">
        <v>0</v>
      </c>
      <c r="F81" s="209">
        <v>654353</v>
      </c>
      <c r="G81" s="242">
        <v>-654353</v>
      </c>
      <c r="H81" s="239"/>
      <c r="I81" s="239"/>
      <c r="J81" s="210">
        <v>0</v>
      </c>
      <c r="K81" s="209">
        <v>0</v>
      </c>
      <c r="L81" s="209">
        <v>-654353</v>
      </c>
      <c r="M81" s="209">
        <v>0</v>
      </c>
      <c r="N81" s="242">
        <v>0</v>
      </c>
      <c r="O81" s="239"/>
    </row>
    <row r="82" spans="1:15" x14ac:dyDescent="0.35">
      <c r="A82" s="211" t="s">
        <v>293</v>
      </c>
      <c r="B82" s="211" t="s">
        <v>294</v>
      </c>
      <c r="C82" s="209">
        <v>654353</v>
      </c>
      <c r="D82" s="209">
        <v>0</v>
      </c>
      <c r="E82" s="209">
        <v>0</v>
      </c>
      <c r="F82" s="209">
        <v>654353</v>
      </c>
      <c r="G82" s="242">
        <v>-654353</v>
      </c>
      <c r="H82" s="239"/>
      <c r="I82" s="239"/>
      <c r="J82" s="210">
        <v>0</v>
      </c>
      <c r="K82" s="209">
        <v>0</v>
      </c>
      <c r="L82" s="209">
        <v>-654353</v>
      </c>
      <c r="M82" s="209">
        <v>0</v>
      </c>
      <c r="N82" s="242">
        <v>0</v>
      </c>
      <c r="O82" s="239"/>
    </row>
    <row r="83" spans="1:15" x14ac:dyDescent="0.35">
      <c r="A83" s="211" t="s">
        <v>295</v>
      </c>
      <c r="B83" s="211" t="s">
        <v>296</v>
      </c>
      <c r="C83" s="209">
        <v>654353</v>
      </c>
      <c r="D83" s="209">
        <v>0</v>
      </c>
      <c r="E83" s="209">
        <v>0</v>
      </c>
      <c r="F83" s="209">
        <v>654353</v>
      </c>
      <c r="G83" s="242">
        <v>-654353</v>
      </c>
      <c r="H83" s="239"/>
      <c r="I83" s="239"/>
      <c r="J83" s="210">
        <v>0</v>
      </c>
      <c r="K83" s="209">
        <v>0</v>
      </c>
      <c r="L83" s="209">
        <v>-654353</v>
      </c>
      <c r="M83" s="209">
        <v>0</v>
      </c>
      <c r="N83" s="242">
        <v>0</v>
      </c>
      <c r="O83" s="239"/>
    </row>
    <row r="84" spans="1:15" x14ac:dyDescent="0.35">
      <c r="A84" s="211" t="s">
        <v>297</v>
      </c>
      <c r="B84" s="211" t="s">
        <v>298</v>
      </c>
      <c r="C84" s="209">
        <v>654353</v>
      </c>
      <c r="D84" s="209">
        <v>0</v>
      </c>
      <c r="E84" s="209">
        <v>0</v>
      </c>
      <c r="F84" s="209">
        <v>654353</v>
      </c>
      <c r="G84" s="242">
        <v>-654353</v>
      </c>
      <c r="H84" s="239"/>
      <c r="I84" s="239"/>
      <c r="J84" s="210">
        <v>0</v>
      </c>
      <c r="K84" s="209">
        <v>0</v>
      </c>
      <c r="L84" s="209">
        <v>-654353</v>
      </c>
      <c r="M84" s="209">
        <v>0</v>
      </c>
      <c r="N84" s="242">
        <v>0</v>
      </c>
      <c r="O84" s="239"/>
    </row>
    <row r="85" spans="1:15" x14ac:dyDescent="0.35">
      <c r="A85" s="211" t="s">
        <v>299</v>
      </c>
      <c r="B85" s="211" t="s">
        <v>300</v>
      </c>
      <c r="C85" s="209">
        <v>654353</v>
      </c>
      <c r="D85" s="209">
        <v>0</v>
      </c>
      <c r="E85" s="209">
        <v>0</v>
      </c>
      <c r="F85" s="209">
        <v>654353</v>
      </c>
      <c r="G85" s="242">
        <v>-654353</v>
      </c>
      <c r="H85" s="239"/>
      <c r="I85" s="239"/>
      <c r="J85" s="210">
        <v>0</v>
      </c>
      <c r="K85" s="209">
        <v>0</v>
      </c>
      <c r="L85" s="209">
        <v>-654353</v>
      </c>
      <c r="M85" s="209">
        <v>0</v>
      </c>
      <c r="N85" s="242">
        <v>0</v>
      </c>
      <c r="O85" s="239"/>
    </row>
    <row r="86" spans="1:15" x14ac:dyDescent="0.35">
      <c r="A86" s="211" t="s">
        <v>301</v>
      </c>
      <c r="B86" s="211" t="s">
        <v>302</v>
      </c>
      <c r="C86" s="209">
        <v>654353</v>
      </c>
      <c r="D86" s="209">
        <v>0</v>
      </c>
      <c r="E86" s="209">
        <v>0</v>
      </c>
      <c r="F86" s="209">
        <v>654353</v>
      </c>
      <c r="G86" s="242">
        <v>-654353</v>
      </c>
      <c r="H86" s="239"/>
      <c r="I86" s="239"/>
      <c r="J86" s="210">
        <v>0</v>
      </c>
      <c r="K86" s="209">
        <v>0</v>
      </c>
      <c r="L86" s="209">
        <v>-654353</v>
      </c>
      <c r="M86" s="209">
        <v>0</v>
      </c>
      <c r="N86" s="242">
        <v>0</v>
      </c>
      <c r="O86" s="239"/>
    </row>
    <row r="87" spans="1:15" x14ac:dyDescent="0.35">
      <c r="A87" s="211" t="s">
        <v>303</v>
      </c>
      <c r="B87" s="211" t="s">
        <v>304</v>
      </c>
      <c r="C87" s="209">
        <v>654353</v>
      </c>
      <c r="D87" s="209">
        <v>0</v>
      </c>
      <c r="E87" s="209">
        <v>0</v>
      </c>
      <c r="F87" s="209">
        <v>654353</v>
      </c>
      <c r="G87" s="242">
        <v>-654353</v>
      </c>
      <c r="H87" s="239"/>
      <c r="I87" s="239"/>
      <c r="J87" s="210">
        <v>0</v>
      </c>
      <c r="K87" s="209">
        <v>0</v>
      </c>
      <c r="L87" s="209">
        <v>-654353</v>
      </c>
      <c r="M87" s="209">
        <v>0</v>
      </c>
      <c r="N87" s="242">
        <v>0</v>
      </c>
      <c r="O87" s="239"/>
    </row>
    <row r="88" spans="1:15" x14ac:dyDescent="0.35">
      <c r="A88" s="211" t="s">
        <v>305</v>
      </c>
      <c r="B88" s="211" t="s">
        <v>306</v>
      </c>
      <c r="C88" s="209">
        <v>654353</v>
      </c>
      <c r="D88" s="209">
        <v>0</v>
      </c>
      <c r="E88" s="209">
        <v>0</v>
      </c>
      <c r="F88" s="209">
        <v>654353</v>
      </c>
      <c r="G88" s="242">
        <v>-654353</v>
      </c>
      <c r="H88" s="239"/>
      <c r="I88" s="239"/>
      <c r="J88" s="210">
        <v>0</v>
      </c>
      <c r="K88" s="209">
        <v>0</v>
      </c>
      <c r="L88" s="209">
        <v>-654353</v>
      </c>
      <c r="M88" s="209">
        <v>0</v>
      </c>
      <c r="N88" s="242">
        <v>0</v>
      </c>
      <c r="O88" s="239"/>
    </row>
    <row r="89" spans="1:15" x14ac:dyDescent="0.35">
      <c r="A89" s="211" t="s">
        <v>307</v>
      </c>
      <c r="B89" s="211" t="s">
        <v>308</v>
      </c>
      <c r="C89" s="209">
        <v>654353</v>
      </c>
      <c r="D89" s="209">
        <v>0</v>
      </c>
      <c r="E89" s="209">
        <v>0</v>
      </c>
      <c r="F89" s="209">
        <v>654353</v>
      </c>
      <c r="G89" s="242">
        <v>-654353</v>
      </c>
      <c r="H89" s="239"/>
      <c r="I89" s="239"/>
      <c r="J89" s="210">
        <v>0</v>
      </c>
      <c r="K89" s="209">
        <v>0</v>
      </c>
      <c r="L89" s="209">
        <v>-654353</v>
      </c>
      <c r="M89" s="209">
        <v>0</v>
      </c>
      <c r="N89" s="242">
        <v>0</v>
      </c>
      <c r="O89" s="239"/>
    </row>
    <row r="90" spans="1:15" x14ac:dyDescent="0.35">
      <c r="A90" s="211" t="s">
        <v>309</v>
      </c>
      <c r="B90" s="211" t="s">
        <v>310</v>
      </c>
      <c r="C90" s="209">
        <v>654353</v>
      </c>
      <c r="D90" s="209">
        <v>0</v>
      </c>
      <c r="E90" s="209">
        <v>0</v>
      </c>
      <c r="F90" s="209">
        <v>654353</v>
      </c>
      <c r="G90" s="242">
        <v>-654353</v>
      </c>
      <c r="H90" s="239"/>
      <c r="I90" s="239"/>
      <c r="J90" s="210">
        <v>0</v>
      </c>
      <c r="K90" s="209">
        <v>0</v>
      </c>
      <c r="L90" s="209">
        <v>-654353</v>
      </c>
      <c r="M90" s="209">
        <v>0</v>
      </c>
      <c r="N90" s="242">
        <v>0</v>
      </c>
      <c r="O90" s="239"/>
    </row>
    <row r="91" spans="1:15" x14ac:dyDescent="0.35">
      <c r="A91" s="211" t="s">
        <v>311</v>
      </c>
      <c r="B91" s="211" t="s">
        <v>312</v>
      </c>
      <c r="C91" s="209">
        <v>654353</v>
      </c>
      <c r="D91" s="209">
        <v>0</v>
      </c>
      <c r="E91" s="209">
        <v>0</v>
      </c>
      <c r="F91" s="209">
        <v>654353</v>
      </c>
      <c r="G91" s="242">
        <v>-654353</v>
      </c>
      <c r="H91" s="239"/>
      <c r="I91" s="239"/>
      <c r="J91" s="210">
        <v>0</v>
      </c>
      <c r="K91" s="209">
        <v>0</v>
      </c>
      <c r="L91" s="209">
        <v>-654353</v>
      </c>
      <c r="M91" s="209">
        <v>0</v>
      </c>
      <c r="N91" s="242">
        <v>0</v>
      </c>
      <c r="O91" s="239"/>
    </row>
    <row r="92" spans="1:15" x14ac:dyDescent="0.35">
      <c r="A92" s="211" t="s">
        <v>313</v>
      </c>
      <c r="B92" s="211" t="s">
        <v>314</v>
      </c>
      <c r="C92" s="209">
        <v>654353</v>
      </c>
      <c r="D92" s="209">
        <v>0</v>
      </c>
      <c r="E92" s="209">
        <v>0</v>
      </c>
      <c r="F92" s="209">
        <v>654353</v>
      </c>
      <c r="G92" s="242">
        <v>-654353</v>
      </c>
      <c r="H92" s="239"/>
      <c r="I92" s="239"/>
      <c r="J92" s="210">
        <v>0</v>
      </c>
      <c r="K92" s="209">
        <v>0</v>
      </c>
      <c r="L92" s="209">
        <v>-654353</v>
      </c>
      <c r="M92" s="209">
        <v>0</v>
      </c>
      <c r="N92" s="242">
        <v>0</v>
      </c>
      <c r="O92" s="239"/>
    </row>
    <row r="93" spans="1:15" x14ac:dyDescent="0.35">
      <c r="A93" s="211" t="s">
        <v>315</v>
      </c>
      <c r="B93" s="211" t="s">
        <v>316</v>
      </c>
      <c r="C93" s="209">
        <v>654353</v>
      </c>
      <c r="D93" s="209">
        <v>0</v>
      </c>
      <c r="E93" s="209">
        <v>0</v>
      </c>
      <c r="F93" s="209">
        <v>654353</v>
      </c>
      <c r="G93" s="242">
        <v>-654353</v>
      </c>
      <c r="H93" s="239"/>
      <c r="I93" s="239"/>
      <c r="J93" s="210">
        <v>0</v>
      </c>
      <c r="K93" s="209">
        <v>0</v>
      </c>
      <c r="L93" s="209">
        <v>-654353</v>
      </c>
      <c r="M93" s="209">
        <v>0</v>
      </c>
      <c r="N93" s="242">
        <v>0</v>
      </c>
      <c r="O93" s="239"/>
    </row>
    <row r="94" spans="1:15" x14ac:dyDescent="0.35">
      <c r="A94" s="211" t="s">
        <v>317</v>
      </c>
      <c r="B94" s="211" t="s">
        <v>318</v>
      </c>
      <c r="C94" s="209">
        <v>654353</v>
      </c>
      <c r="D94" s="209">
        <v>0</v>
      </c>
      <c r="E94" s="209">
        <v>0</v>
      </c>
      <c r="F94" s="209">
        <v>654353</v>
      </c>
      <c r="G94" s="242">
        <v>-654353</v>
      </c>
      <c r="H94" s="239"/>
      <c r="I94" s="239"/>
      <c r="J94" s="210">
        <v>0</v>
      </c>
      <c r="K94" s="209">
        <v>0</v>
      </c>
      <c r="L94" s="209">
        <v>-654353</v>
      </c>
      <c r="M94" s="209">
        <v>0</v>
      </c>
      <c r="N94" s="242">
        <v>0</v>
      </c>
      <c r="O94" s="239"/>
    </row>
    <row r="95" spans="1:15" x14ac:dyDescent="0.35">
      <c r="A95" s="211" t="s">
        <v>319</v>
      </c>
      <c r="B95" s="211" t="s">
        <v>320</v>
      </c>
      <c r="C95" s="209">
        <v>654353</v>
      </c>
      <c r="D95" s="209">
        <v>0</v>
      </c>
      <c r="E95" s="209">
        <v>0</v>
      </c>
      <c r="F95" s="209">
        <v>654353</v>
      </c>
      <c r="G95" s="242">
        <v>-654353</v>
      </c>
      <c r="H95" s="239"/>
      <c r="I95" s="239"/>
      <c r="J95" s="210">
        <v>0</v>
      </c>
      <c r="K95" s="209">
        <v>0</v>
      </c>
      <c r="L95" s="209">
        <v>-654353</v>
      </c>
      <c r="M95" s="209">
        <v>0</v>
      </c>
      <c r="N95" s="242">
        <v>0</v>
      </c>
      <c r="O95" s="239"/>
    </row>
    <row r="96" spans="1:15" x14ac:dyDescent="0.35">
      <c r="A96" s="211" t="s">
        <v>321</v>
      </c>
      <c r="B96" s="211" t="s">
        <v>322</v>
      </c>
      <c r="C96" s="209">
        <v>654353</v>
      </c>
      <c r="D96" s="209">
        <v>0</v>
      </c>
      <c r="E96" s="209">
        <v>0</v>
      </c>
      <c r="F96" s="209">
        <v>654353</v>
      </c>
      <c r="G96" s="242">
        <v>-654353</v>
      </c>
      <c r="H96" s="239"/>
      <c r="I96" s="239"/>
      <c r="J96" s="210">
        <v>0</v>
      </c>
      <c r="K96" s="209">
        <v>0</v>
      </c>
      <c r="L96" s="209">
        <v>-654353</v>
      </c>
      <c r="M96" s="209">
        <v>0</v>
      </c>
      <c r="N96" s="242">
        <v>0</v>
      </c>
      <c r="O96" s="239"/>
    </row>
    <row r="97" spans="1:15" x14ac:dyDescent="0.35">
      <c r="A97" s="211" t="s">
        <v>323</v>
      </c>
      <c r="B97" s="211" t="s">
        <v>324</v>
      </c>
      <c r="C97" s="209">
        <v>654353</v>
      </c>
      <c r="D97" s="209">
        <v>0</v>
      </c>
      <c r="E97" s="209">
        <v>0</v>
      </c>
      <c r="F97" s="209">
        <v>654353</v>
      </c>
      <c r="G97" s="242">
        <v>-654353</v>
      </c>
      <c r="H97" s="239"/>
      <c r="I97" s="239"/>
      <c r="J97" s="210">
        <v>0</v>
      </c>
      <c r="K97" s="209">
        <v>0</v>
      </c>
      <c r="L97" s="209">
        <v>-654353</v>
      </c>
      <c r="M97" s="209">
        <v>0</v>
      </c>
      <c r="N97" s="242">
        <v>0</v>
      </c>
      <c r="O97" s="239"/>
    </row>
    <row r="98" spans="1:15" x14ac:dyDescent="0.35">
      <c r="A98" s="211" t="s">
        <v>325</v>
      </c>
      <c r="B98" s="211" t="s">
        <v>326</v>
      </c>
      <c r="C98" s="209">
        <v>654353</v>
      </c>
      <c r="D98" s="209">
        <v>0</v>
      </c>
      <c r="E98" s="209">
        <v>0</v>
      </c>
      <c r="F98" s="209">
        <v>654353</v>
      </c>
      <c r="G98" s="242">
        <v>-654353</v>
      </c>
      <c r="H98" s="239"/>
      <c r="I98" s="239"/>
      <c r="J98" s="210">
        <v>0</v>
      </c>
      <c r="K98" s="209">
        <v>0</v>
      </c>
      <c r="L98" s="209">
        <v>-654353</v>
      </c>
      <c r="M98" s="209">
        <v>0</v>
      </c>
      <c r="N98" s="242">
        <v>0</v>
      </c>
      <c r="O98" s="239"/>
    </row>
    <row r="99" spans="1:15" x14ac:dyDescent="0.35">
      <c r="A99" s="211" t="s">
        <v>327</v>
      </c>
      <c r="B99" s="211" t="s">
        <v>328</v>
      </c>
      <c r="C99" s="209">
        <v>654353</v>
      </c>
      <c r="D99" s="209">
        <v>0</v>
      </c>
      <c r="E99" s="209">
        <v>0</v>
      </c>
      <c r="F99" s="209">
        <v>654353</v>
      </c>
      <c r="G99" s="242">
        <v>-654353</v>
      </c>
      <c r="H99" s="239"/>
      <c r="I99" s="239"/>
      <c r="J99" s="210">
        <v>0</v>
      </c>
      <c r="K99" s="209">
        <v>0</v>
      </c>
      <c r="L99" s="209">
        <v>-654353</v>
      </c>
      <c r="M99" s="209">
        <v>0</v>
      </c>
      <c r="N99" s="242">
        <v>0</v>
      </c>
      <c r="O99" s="239"/>
    </row>
    <row r="100" spans="1:15" x14ac:dyDescent="0.35">
      <c r="A100" s="211" t="s">
        <v>329</v>
      </c>
      <c r="B100" s="211" t="s">
        <v>330</v>
      </c>
      <c r="C100" s="209">
        <v>654353</v>
      </c>
      <c r="D100" s="209">
        <v>0</v>
      </c>
      <c r="E100" s="209">
        <v>0</v>
      </c>
      <c r="F100" s="209">
        <v>654353</v>
      </c>
      <c r="G100" s="242">
        <v>-654353</v>
      </c>
      <c r="H100" s="239"/>
      <c r="I100" s="239"/>
      <c r="J100" s="210">
        <v>0</v>
      </c>
      <c r="K100" s="209">
        <v>0</v>
      </c>
      <c r="L100" s="209">
        <v>-654353</v>
      </c>
      <c r="M100" s="209">
        <v>0</v>
      </c>
      <c r="N100" s="242">
        <v>0</v>
      </c>
      <c r="O100" s="239"/>
    </row>
    <row r="101" spans="1:15" x14ac:dyDescent="0.35">
      <c r="A101" s="211" t="s">
        <v>331</v>
      </c>
      <c r="B101" s="211" t="s">
        <v>332</v>
      </c>
      <c r="C101" s="209">
        <v>654353</v>
      </c>
      <c r="D101" s="209">
        <v>0</v>
      </c>
      <c r="E101" s="209">
        <v>0</v>
      </c>
      <c r="F101" s="209">
        <v>654353</v>
      </c>
      <c r="G101" s="242">
        <v>-654353</v>
      </c>
      <c r="H101" s="239"/>
      <c r="I101" s="239"/>
      <c r="J101" s="210">
        <v>0</v>
      </c>
      <c r="K101" s="209">
        <v>0</v>
      </c>
      <c r="L101" s="209">
        <v>-654353</v>
      </c>
      <c r="M101" s="209">
        <v>0</v>
      </c>
      <c r="N101" s="242">
        <v>0</v>
      </c>
      <c r="O101" s="239"/>
    </row>
    <row r="102" spans="1:15" x14ac:dyDescent="0.35">
      <c r="A102" s="211" t="s">
        <v>333</v>
      </c>
      <c r="B102" s="211" t="s">
        <v>334</v>
      </c>
      <c r="C102" s="209">
        <v>654353</v>
      </c>
      <c r="D102" s="209">
        <v>0</v>
      </c>
      <c r="E102" s="209">
        <v>0</v>
      </c>
      <c r="F102" s="209">
        <v>654353</v>
      </c>
      <c r="G102" s="242">
        <v>-654353</v>
      </c>
      <c r="H102" s="239"/>
      <c r="I102" s="239"/>
      <c r="J102" s="210">
        <v>0</v>
      </c>
      <c r="K102" s="209">
        <v>0</v>
      </c>
      <c r="L102" s="209">
        <v>-654353</v>
      </c>
      <c r="M102" s="209">
        <v>0</v>
      </c>
      <c r="N102" s="242">
        <v>0</v>
      </c>
      <c r="O102" s="239"/>
    </row>
    <row r="103" spans="1:15" x14ac:dyDescent="0.35">
      <c r="A103" s="211" t="s">
        <v>335</v>
      </c>
      <c r="B103" s="211" t="s">
        <v>336</v>
      </c>
      <c r="C103" s="209">
        <v>654353</v>
      </c>
      <c r="D103" s="209">
        <v>0</v>
      </c>
      <c r="E103" s="209">
        <v>0</v>
      </c>
      <c r="F103" s="209">
        <v>654353</v>
      </c>
      <c r="G103" s="242">
        <v>-654353</v>
      </c>
      <c r="H103" s="239"/>
      <c r="I103" s="239"/>
      <c r="J103" s="210">
        <v>0</v>
      </c>
      <c r="K103" s="209">
        <v>0</v>
      </c>
      <c r="L103" s="209">
        <v>-654353</v>
      </c>
      <c r="M103" s="209">
        <v>0</v>
      </c>
      <c r="N103" s="242">
        <v>0</v>
      </c>
      <c r="O103" s="239"/>
    </row>
    <row r="104" spans="1:15" x14ac:dyDescent="0.35">
      <c r="A104" s="211" t="s">
        <v>337</v>
      </c>
      <c r="B104" s="211" t="s">
        <v>338</v>
      </c>
      <c r="C104" s="209">
        <v>654353</v>
      </c>
      <c r="D104" s="209">
        <v>0</v>
      </c>
      <c r="E104" s="209">
        <v>0</v>
      </c>
      <c r="F104" s="209">
        <v>654353</v>
      </c>
      <c r="G104" s="242">
        <v>-654353</v>
      </c>
      <c r="H104" s="239"/>
      <c r="I104" s="239"/>
      <c r="J104" s="210">
        <v>0</v>
      </c>
      <c r="K104" s="209">
        <v>0</v>
      </c>
      <c r="L104" s="209">
        <v>-654353</v>
      </c>
      <c r="M104" s="209">
        <v>0</v>
      </c>
      <c r="N104" s="242">
        <v>0</v>
      </c>
      <c r="O104" s="239"/>
    </row>
    <row r="105" spans="1:15" x14ac:dyDescent="0.35">
      <c r="A105" s="211" t="s">
        <v>339</v>
      </c>
      <c r="B105" s="211" t="s">
        <v>340</v>
      </c>
      <c r="C105" s="209">
        <v>654353</v>
      </c>
      <c r="D105" s="209">
        <v>0</v>
      </c>
      <c r="E105" s="209">
        <v>0</v>
      </c>
      <c r="F105" s="209">
        <v>654353</v>
      </c>
      <c r="G105" s="242">
        <v>-654353</v>
      </c>
      <c r="H105" s="239"/>
      <c r="I105" s="239"/>
      <c r="J105" s="210">
        <v>0</v>
      </c>
      <c r="K105" s="209">
        <v>0</v>
      </c>
      <c r="L105" s="209">
        <v>-654353</v>
      </c>
      <c r="M105" s="209">
        <v>0</v>
      </c>
      <c r="N105" s="242">
        <v>0</v>
      </c>
      <c r="O105" s="239"/>
    </row>
    <row r="106" spans="1:15" ht="23" x14ac:dyDescent="0.35">
      <c r="A106" s="211" t="s">
        <v>341</v>
      </c>
      <c r="B106" s="211" t="s">
        <v>342</v>
      </c>
      <c r="C106" s="209">
        <v>37500</v>
      </c>
      <c r="D106" s="209">
        <v>0</v>
      </c>
      <c r="E106" s="209">
        <v>0</v>
      </c>
      <c r="F106" s="209">
        <v>37500</v>
      </c>
      <c r="G106" s="242">
        <v>-37500</v>
      </c>
      <c r="H106" s="239"/>
      <c r="I106" s="239"/>
      <c r="J106" s="210">
        <v>0</v>
      </c>
      <c r="K106" s="209">
        <v>0</v>
      </c>
      <c r="L106" s="209">
        <v>-37500</v>
      </c>
      <c r="M106" s="209">
        <v>0</v>
      </c>
      <c r="N106" s="242">
        <v>0</v>
      </c>
      <c r="O106" s="239"/>
    </row>
    <row r="107" spans="1:15" ht="23" x14ac:dyDescent="0.35">
      <c r="A107" s="211" t="s">
        <v>343</v>
      </c>
      <c r="B107" s="211" t="s">
        <v>344</v>
      </c>
      <c r="C107" s="209">
        <v>37500</v>
      </c>
      <c r="D107" s="209">
        <v>0</v>
      </c>
      <c r="E107" s="209">
        <v>0</v>
      </c>
      <c r="F107" s="209">
        <v>37500</v>
      </c>
      <c r="G107" s="242">
        <v>-37500</v>
      </c>
      <c r="H107" s="239"/>
      <c r="I107" s="239"/>
      <c r="J107" s="210">
        <v>0</v>
      </c>
      <c r="K107" s="209">
        <v>0</v>
      </c>
      <c r="L107" s="209">
        <v>-37500</v>
      </c>
      <c r="M107" s="209">
        <v>0</v>
      </c>
      <c r="N107" s="242">
        <v>0</v>
      </c>
      <c r="O107" s="239"/>
    </row>
    <row r="108" spans="1:15" ht="23" x14ac:dyDescent="0.35">
      <c r="A108" s="211" t="s">
        <v>345</v>
      </c>
      <c r="B108" s="211" t="s">
        <v>346</v>
      </c>
      <c r="C108" s="209">
        <v>37500</v>
      </c>
      <c r="D108" s="209">
        <v>0</v>
      </c>
      <c r="E108" s="209">
        <v>0</v>
      </c>
      <c r="F108" s="209">
        <v>37500</v>
      </c>
      <c r="G108" s="242">
        <v>-37500</v>
      </c>
      <c r="H108" s="239"/>
      <c r="I108" s="239"/>
      <c r="J108" s="210">
        <v>0</v>
      </c>
      <c r="K108" s="209">
        <v>0</v>
      </c>
      <c r="L108" s="209">
        <v>-37500</v>
      </c>
      <c r="M108" s="209">
        <v>0</v>
      </c>
      <c r="N108" s="242">
        <v>0</v>
      </c>
      <c r="O108" s="239"/>
    </row>
    <row r="109" spans="1:15" ht="23" x14ac:dyDescent="0.35">
      <c r="A109" s="211" t="s">
        <v>347</v>
      </c>
      <c r="B109" s="211" t="s">
        <v>348</v>
      </c>
      <c r="C109" s="209">
        <v>37500</v>
      </c>
      <c r="D109" s="209">
        <v>0</v>
      </c>
      <c r="E109" s="209">
        <v>0</v>
      </c>
      <c r="F109" s="209">
        <v>37500</v>
      </c>
      <c r="G109" s="242">
        <v>-37500</v>
      </c>
      <c r="H109" s="239"/>
      <c r="I109" s="239"/>
      <c r="J109" s="210">
        <v>0</v>
      </c>
      <c r="K109" s="209">
        <v>0</v>
      </c>
      <c r="L109" s="209">
        <v>-37500</v>
      </c>
      <c r="M109" s="209">
        <v>0</v>
      </c>
      <c r="N109" s="242">
        <v>0</v>
      </c>
      <c r="O109" s="239"/>
    </row>
    <row r="110" spans="1:15" ht="23" x14ac:dyDescent="0.35">
      <c r="A110" s="211" t="s">
        <v>349</v>
      </c>
      <c r="B110" s="211" t="s">
        <v>350</v>
      </c>
      <c r="C110" s="209">
        <v>37500</v>
      </c>
      <c r="D110" s="209">
        <v>0</v>
      </c>
      <c r="E110" s="209">
        <v>0</v>
      </c>
      <c r="F110" s="209">
        <v>37500</v>
      </c>
      <c r="G110" s="242">
        <v>-37500</v>
      </c>
      <c r="H110" s="239"/>
      <c r="I110" s="239"/>
      <c r="J110" s="210">
        <v>0</v>
      </c>
      <c r="K110" s="209">
        <v>0</v>
      </c>
      <c r="L110" s="209">
        <v>-37500</v>
      </c>
      <c r="M110" s="209">
        <v>0</v>
      </c>
      <c r="N110" s="242">
        <v>0</v>
      </c>
      <c r="O110" s="239"/>
    </row>
    <row r="111" spans="1:15" ht="23" x14ac:dyDescent="0.35">
      <c r="A111" s="211" t="s">
        <v>351</v>
      </c>
      <c r="B111" s="211" t="s">
        <v>352</v>
      </c>
      <c r="C111" s="209">
        <v>37500</v>
      </c>
      <c r="D111" s="209">
        <v>0</v>
      </c>
      <c r="E111" s="209">
        <v>0</v>
      </c>
      <c r="F111" s="209">
        <v>37500</v>
      </c>
      <c r="G111" s="242">
        <v>-37500</v>
      </c>
      <c r="H111" s="239"/>
      <c r="I111" s="239"/>
      <c r="J111" s="210">
        <v>0</v>
      </c>
      <c r="K111" s="209">
        <v>0</v>
      </c>
      <c r="L111" s="209">
        <v>-37500</v>
      </c>
      <c r="M111" s="209">
        <v>0</v>
      </c>
      <c r="N111" s="242">
        <v>0</v>
      </c>
      <c r="O111" s="239"/>
    </row>
    <row r="112" spans="1:15" ht="23" x14ac:dyDescent="0.35">
      <c r="A112" s="211" t="s">
        <v>353</v>
      </c>
      <c r="B112" s="211" t="s">
        <v>354</v>
      </c>
      <c r="C112" s="209">
        <v>37500</v>
      </c>
      <c r="D112" s="209">
        <v>0</v>
      </c>
      <c r="E112" s="209">
        <v>0</v>
      </c>
      <c r="F112" s="209">
        <v>37500</v>
      </c>
      <c r="G112" s="242">
        <v>-37500</v>
      </c>
      <c r="H112" s="239"/>
      <c r="I112" s="239"/>
      <c r="J112" s="210">
        <v>0</v>
      </c>
      <c r="K112" s="209">
        <v>0</v>
      </c>
      <c r="L112" s="209">
        <v>-37500</v>
      </c>
      <c r="M112" s="209">
        <v>0</v>
      </c>
      <c r="N112" s="242">
        <v>0</v>
      </c>
      <c r="O112" s="239"/>
    </row>
    <row r="113" spans="1:15" ht="23" x14ac:dyDescent="0.35">
      <c r="A113" s="211" t="s">
        <v>355</v>
      </c>
      <c r="B113" s="211" t="s">
        <v>356</v>
      </c>
      <c r="C113" s="209">
        <v>37500</v>
      </c>
      <c r="D113" s="209">
        <v>0</v>
      </c>
      <c r="E113" s="209">
        <v>0</v>
      </c>
      <c r="F113" s="209">
        <v>37500</v>
      </c>
      <c r="G113" s="242">
        <v>-37500</v>
      </c>
      <c r="H113" s="239"/>
      <c r="I113" s="239"/>
      <c r="J113" s="210">
        <v>0</v>
      </c>
      <c r="K113" s="209">
        <v>0</v>
      </c>
      <c r="L113" s="209">
        <v>-37500</v>
      </c>
      <c r="M113" s="209">
        <v>0</v>
      </c>
      <c r="N113" s="242">
        <v>0</v>
      </c>
      <c r="O113" s="239"/>
    </row>
    <row r="114" spans="1:15" ht="23" x14ac:dyDescent="0.35">
      <c r="A114" s="211" t="s">
        <v>357</v>
      </c>
      <c r="B114" s="211" t="s">
        <v>358</v>
      </c>
      <c r="C114" s="209">
        <v>37500</v>
      </c>
      <c r="D114" s="209">
        <v>0</v>
      </c>
      <c r="E114" s="209">
        <v>0</v>
      </c>
      <c r="F114" s="209">
        <v>37500</v>
      </c>
      <c r="G114" s="242">
        <v>-37500</v>
      </c>
      <c r="H114" s="239"/>
      <c r="I114" s="239"/>
      <c r="J114" s="210">
        <v>0</v>
      </c>
      <c r="K114" s="209">
        <v>0</v>
      </c>
      <c r="L114" s="209">
        <v>-37500</v>
      </c>
      <c r="M114" s="209">
        <v>0</v>
      </c>
      <c r="N114" s="242">
        <v>0</v>
      </c>
      <c r="O114" s="239"/>
    </row>
    <row r="115" spans="1:15" ht="23" x14ac:dyDescent="0.35">
      <c r="A115" s="211" t="s">
        <v>359</v>
      </c>
      <c r="B115" s="211" t="s">
        <v>360</v>
      </c>
      <c r="C115" s="209">
        <v>37500</v>
      </c>
      <c r="D115" s="209">
        <v>0</v>
      </c>
      <c r="E115" s="209">
        <v>0</v>
      </c>
      <c r="F115" s="209">
        <v>37500</v>
      </c>
      <c r="G115" s="242">
        <v>-37500</v>
      </c>
      <c r="H115" s="239"/>
      <c r="I115" s="239"/>
      <c r="J115" s="210">
        <v>0</v>
      </c>
      <c r="K115" s="209">
        <v>0</v>
      </c>
      <c r="L115" s="209">
        <v>-37500</v>
      </c>
      <c r="M115" s="209">
        <v>0</v>
      </c>
      <c r="N115" s="242">
        <v>0</v>
      </c>
      <c r="O115" s="239"/>
    </row>
    <row r="116" spans="1:15" ht="23" x14ac:dyDescent="0.35">
      <c r="A116" s="211" t="s">
        <v>361</v>
      </c>
      <c r="B116" s="211" t="s">
        <v>362</v>
      </c>
      <c r="C116" s="209">
        <v>37500</v>
      </c>
      <c r="D116" s="209">
        <v>0</v>
      </c>
      <c r="E116" s="209">
        <v>0</v>
      </c>
      <c r="F116" s="209">
        <v>37500</v>
      </c>
      <c r="G116" s="242">
        <v>-37500</v>
      </c>
      <c r="H116" s="239"/>
      <c r="I116" s="239"/>
      <c r="J116" s="210">
        <v>0</v>
      </c>
      <c r="K116" s="209">
        <v>0</v>
      </c>
      <c r="L116" s="209">
        <v>-37500</v>
      </c>
      <c r="M116" s="209">
        <v>0</v>
      </c>
      <c r="N116" s="242">
        <v>0</v>
      </c>
      <c r="O116" s="239"/>
    </row>
    <row r="117" spans="1:15" ht="23" x14ac:dyDescent="0.35">
      <c r="A117" s="211" t="s">
        <v>363</v>
      </c>
      <c r="B117" s="211" t="s">
        <v>364</v>
      </c>
      <c r="C117" s="209">
        <v>37500</v>
      </c>
      <c r="D117" s="209">
        <v>0</v>
      </c>
      <c r="E117" s="209">
        <v>0</v>
      </c>
      <c r="F117" s="209">
        <v>37500</v>
      </c>
      <c r="G117" s="242">
        <v>-37500</v>
      </c>
      <c r="H117" s="239"/>
      <c r="I117" s="239"/>
      <c r="J117" s="210">
        <v>0</v>
      </c>
      <c r="K117" s="209">
        <v>0</v>
      </c>
      <c r="L117" s="209">
        <v>-37500</v>
      </c>
      <c r="M117" s="209">
        <v>0</v>
      </c>
      <c r="N117" s="242">
        <v>0</v>
      </c>
      <c r="O117" s="239"/>
    </row>
    <row r="118" spans="1:15" ht="23" x14ac:dyDescent="0.35">
      <c r="A118" s="211" t="s">
        <v>365</v>
      </c>
      <c r="B118" s="211" t="s">
        <v>366</v>
      </c>
      <c r="C118" s="209">
        <v>37500</v>
      </c>
      <c r="D118" s="209">
        <v>0</v>
      </c>
      <c r="E118" s="209">
        <v>0</v>
      </c>
      <c r="F118" s="209">
        <v>37500</v>
      </c>
      <c r="G118" s="242">
        <v>-37500</v>
      </c>
      <c r="H118" s="239"/>
      <c r="I118" s="239"/>
      <c r="J118" s="210">
        <v>0</v>
      </c>
      <c r="K118" s="209">
        <v>0</v>
      </c>
      <c r="L118" s="209">
        <v>-37500</v>
      </c>
      <c r="M118" s="209">
        <v>0</v>
      </c>
      <c r="N118" s="242">
        <v>0</v>
      </c>
      <c r="O118" s="239"/>
    </row>
    <row r="119" spans="1:15" ht="23" x14ac:dyDescent="0.35">
      <c r="A119" s="211" t="s">
        <v>367</v>
      </c>
      <c r="B119" s="211" t="s">
        <v>368</v>
      </c>
      <c r="C119" s="209">
        <v>37500</v>
      </c>
      <c r="D119" s="209">
        <v>0</v>
      </c>
      <c r="E119" s="209">
        <v>0</v>
      </c>
      <c r="F119" s="209">
        <v>37500</v>
      </c>
      <c r="G119" s="242">
        <v>-37500</v>
      </c>
      <c r="H119" s="239"/>
      <c r="I119" s="239"/>
      <c r="J119" s="210">
        <v>0</v>
      </c>
      <c r="K119" s="209">
        <v>0</v>
      </c>
      <c r="L119" s="209">
        <v>-37500</v>
      </c>
      <c r="M119" s="209">
        <v>0</v>
      </c>
      <c r="N119" s="242">
        <v>0</v>
      </c>
      <c r="O119" s="239"/>
    </row>
    <row r="120" spans="1:15" ht="23" x14ac:dyDescent="0.35">
      <c r="A120" s="211" t="s">
        <v>369</v>
      </c>
      <c r="B120" s="211" t="s">
        <v>370</v>
      </c>
      <c r="C120" s="209">
        <v>37500</v>
      </c>
      <c r="D120" s="209">
        <v>0</v>
      </c>
      <c r="E120" s="209">
        <v>0</v>
      </c>
      <c r="F120" s="209">
        <v>37500</v>
      </c>
      <c r="G120" s="242">
        <v>-37500</v>
      </c>
      <c r="H120" s="239"/>
      <c r="I120" s="239"/>
      <c r="J120" s="210">
        <v>0</v>
      </c>
      <c r="K120" s="209">
        <v>0</v>
      </c>
      <c r="L120" s="209">
        <v>-37500</v>
      </c>
      <c r="M120" s="209">
        <v>0</v>
      </c>
      <c r="N120" s="242">
        <v>0</v>
      </c>
      <c r="O120" s="239"/>
    </row>
    <row r="121" spans="1:15" ht="23" x14ac:dyDescent="0.35">
      <c r="A121" s="211" t="s">
        <v>371</v>
      </c>
      <c r="B121" s="211" t="s">
        <v>372</v>
      </c>
      <c r="C121" s="209">
        <v>37500</v>
      </c>
      <c r="D121" s="209">
        <v>0</v>
      </c>
      <c r="E121" s="209">
        <v>0</v>
      </c>
      <c r="F121" s="209">
        <v>37500</v>
      </c>
      <c r="G121" s="242">
        <v>-37500</v>
      </c>
      <c r="H121" s="239"/>
      <c r="I121" s="239"/>
      <c r="J121" s="210">
        <v>0</v>
      </c>
      <c r="K121" s="209">
        <v>0</v>
      </c>
      <c r="L121" s="209">
        <v>-37500</v>
      </c>
      <c r="M121" s="209">
        <v>0</v>
      </c>
      <c r="N121" s="242">
        <v>0</v>
      </c>
      <c r="O121" s="239"/>
    </row>
    <row r="122" spans="1:15" ht="23" x14ac:dyDescent="0.35">
      <c r="A122" s="211" t="s">
        <v>373</v>
      </c>
      <c r="B122" s="211" t="s">
        <v>374</v>
      </c>
      <c r="C122" s="209">
        <v>37500</v>
      </c>
      <c r="D122" s="209">
        <v>0</v>
      </c>
      <c r="E122" s="209">
        <v>0</v>
      </c>
      <c r="F122" s="209">
        <v>37500</v>
      </c>
      <c r="G122" s="242">
        <v>-37500</v>
      </c>
      <c r="H122" s="239"/>
      <c r="I122" s="239"/>
      <c r="J122" s="210">
        <v>0</v>
      </c>
      <c r="K122" s="209">
        <v>0</v>
      </c>
      <c r="L122" s="209">
        <v>-37500</v>
      </c>
      <c r="M122" s="209">
        <v>0</v>
      </c>
      <c r="N122" s="242">
        <v>0</v>
      </c>
      <c r="O122" s="239"/>
    </row>
    <row r="123" spans="1:15" ht="23" x14ac:dyDescent="0.35">
      <c r="A123" s="211" t="s">
        <v>375</v>
      </c>
      <c r="B123" s="211" t="s">
        <v>376</v>
      </c>
      <c r="C123" s="209">
        <v>37500</v>
      </c>
      <c r="D123" s="209">
        <v>0</v>
      </c>
      <c r="E123" s="209">
        <v>0</v>
      </c>
      <c r="F123" s="209">
        <v>37500</v>
      </c>
      <c r="G123" s="242">
        <v>-37500</v>
      </c>
      <c r="H123" s="239"/>
      <c r="I123" s="239"/>
      <c r="J123" s="210">
        <v>0</v>
      </c>
      <c r="K123" s="209">
        <v>0</v>
      </c>
      <c r="L123" s="209">
        <v>-37500</v>
      </c>
      <c r="M123" s="209">
        <v>0</v>
      </c>
      <c r="N123" s="242">
        <v>0</v>
      </c>
      <c r="O123" s="239"/>
    </row>
    <row r="124" spans="1:15" ht="23" x14ac:dyDescent="0.35">
      <c r="A124" s="211" t="s">
        <v>377</v>
      </c>
      <c r="B124" s="211" t="s">
        <v>378</v>
      </c>
      <c r="C124" s="209">
        <v>37500</v>
      </c>
      <c r="D124" s="209">
        <v>0</v>
      </c>
      <c r="E124" s="209">
        <v>0</v>
      </c>
      <c r="F124" s="209">
        <v>37500</v>
      </c>
      <c r="G124" s="242">
        <v>-37500</v>
      </c>
      <c r="H124" s="239"/>
      <c r="I124" s="239"/>
      <c r="J124" s="210">
        <v>0</v>
      </c>
      <c r="K124" s="209">
        <v>0</v>
      </c>
      <c r="L124" s="209">
        <v>-37500</v>
      </c>
      <c r="M124" s="209">
        <v>0</v>
      </c>
      <c r="N124" s="242">
        <v>0</v>
      </c>
      <c r="O124" s="239"/>
    </row>
    <row r="125" spans="1:15" ht="23" x14ac:dyDescent="0.35">
      <c r="A125" s="211" t="s">
        <v>379</v>
      </c>
      <c r="B125" s="211" t="s">
        <v>380</v>
      </c>
      <c r="C125" s="209">
        <v>37500</v>
      </c>
      <c r="D125" s="209">
        <v>0</v>
      </c>
      <c r="E125" s="209">
        <v>0</v>
      </c>
      <c r="F125" s="209">
        <v>37500</v>
      </c>
      <c r="G125" s="242">
        <v>-37500</v>
      </c>
      <c r="H125" s="239"/>
      <c r="I125" s="239"/>
      <c r="J125" s="210">
        <v>0</v>
      </c>
      <c r="K125" s="209">
        <v>0</v>
      </c>
      <c r="L125" s="209">
        <v>-37500</v>
      </c>
      <c r="M125" s="209">
        <v>0</v>
      </c>
      <c r="N125" s="242">
        <v>0</v>
      </c>
      <c r="O125" s="239"/>
    </row>
    <row r="126" spans="1:15" ht="23" x14ac:dyDescent="0.35">
      <c r="A126" s="211" t="s">
        <v>381</v>
      </c>
      <c r="B126" s="211" t="s">
        <v>382</v>
      </c>
      <c r="C126" s="209">
        <v>37500</v>
      </c>
      <c r="D126" s="209">
        <v>0</v>
      </c>
      <c r="E126" s="209">
        <v>0</v>
      </c>
      <c r="F126" s="209">
        <v>37500</v>
      </c>
      <c r="G126" s="242">
        <v>-37500</v>
      </c>
      <c r="H126" s="239"/>
      <c r="I126" s="239"/>
      <c r="J126" s="210">
        <v>0</v>
      </c>
      <c r="K126" s="209">
        <v>0</v>
      </c>
      <c r="L126" s="209">
        <v>-37500</v>
      </c>
      <c r="M126" s="209">
        <v>0</v>
      </c>
      <c r="N126" s="242">
        <v>0</v>
      </c>
      <c r="O126" s="239"/>
    </row>
    <row r="127" spans="1:15" ht="23" x14ac:dyDescent="0.35">
      <c r="A127" s="211" t="s">
        <v>383</v>
      </c>
      <c r="B127" s="211" t="s">
        <v>384</v>
      </c>
      <c r="C127" s="209">
        <v>37500</v>
      </c>
      <c r="D127" s="209">
        <v>0</v>
      </c>
      <c r="E127" s="209">
        <v>0</v>
      </c>
      <c r="F127" s="209">
        <v>37500</v>
      </c>
      <c r="G127" s="242">
        <v>-37500</v>
      </c>
      <c r="H127" s="239"/>
      <c r="I127" s="239"/>
      <c r="J127" s="210">
        <v>0</v>
      </c>
      <c r="K127" s="209">
        <v>0</v>
      </c>
      <c r="L127" s="209">
        <v>-37500</v>
      </c>
      <c r="M127" s="209">
        <v>0</v>
      </c>
      <c r="N127" s="242">
        <v>0</v>
      </c>
      <c r="O127" s="239"/>
    </row>
    <row r="128" spans="1:15" ht="23" x14ac:dyDescent="0.35">
      <c r="A128" s="211" t="s">
        <v>385</v>
      </c>
      <c r="B128" s="211" t="s">
        <v>386</v>
      </c>
      <c r="C128" s="209">
        <v>37500</v>
      </c>
      <c r="D128" s="209">
        <v>0</v>
      </c>
      <c r="E128" s="209">
        <v>0</v>
      </c>
      <c r="F128" s="209">
        <v>37500</v>
      </c>
      <c r="G128" s="242">
        <v>-37500</v>
      </c>
      <c r="H128" s="239"/>
      <c r="I128" s="239"/>
      <c r="J128" s="210">
        <v>0</v>
      </c>
      <c r="K128" s="209">
        <v>0</v>
      </c>
      <c r="L128" s="209">
        <v>-37500</v>
      </c>
      <c r="M128" s="209">
        <v>0</v>
      </c>
      <c r="N128" s="242">
        <v>0</v>
      </c>
      <c r="O128" s="239"/>
    </row>
    <row r="129" spans="1:15" ht="23" x14ac:dyDescent="0.35">
      <c r="A129" s="211" t="s">
        <v>387</v>
      </c>
      <c r="B129" s="211" t="s">
        <v>388</v>
      </c>
      <c r="C129" s="209">
        <v>37500</v>
      </c>
      <c r="D129" s="209">
        <v>0</v>
      </c>
      <c r="E129" s="209">
        <v>0</v>
      </c>
      <c r="F129" s="209">
        <v>37500</v>
      </c>
      <c r="G129" s="242">
        <v>-37500</v>
      </c>
      <c r="H129" s="239"/>
      <c r="I129" s="239"/>
      <c r="J129" s="210">
        <v>0</v>
      </c>
      <c r="K129" s="209">
        <v>0</v>
      </c>
      <c r="L129" s="209">
        <v>-37500</v>
      </c>
      <c r="M129" s="209">
        <v>0</v>
      </c>
      <c r="N129" s="242">
        <v>0</v>
      </c>
      <c r="O129" s="239"/>
    </row>
    <row r="130" spans="1:15" ht="23" x14ac:dyDescent="0.35">
      <c r="A130" s="211" t="s">
        <v>389</v>
      </c>
      <c r="B130" s="211" t="s">
        <v>390</v>
      </c>
      <c r="C130" s="209">
        <v>37500</v>
      </c>
      <c r="D130" s="209">
        <v>0</v>
      </c>
      <c r="E130" s="209">
        <v>0</v>
      </c>
      <c r="F130" s="209">
        <v>37500</v>
      </c>
      <c r="G130" s="242">
        <v>-37500</v>
      </c>
      <c r="H130" s="239"/>
      <c r="I130" s="239"/>
      <c r="J130" s="210">
        <v>0</v>
      </c>
      <c r="K130" s="209">
        <v>0</v>
      </c>
      <c r="L130" s="209">
        <v>-37500</v>
      </c>
      <c r="M130" s="209">
        <v>0</v>
      </c>
      <c r="N130" s="242">
        <v>0</v>
      </c>
      <c r="O130" s="239"/>
    </row>
    <row r="131" spans="1:15" ht="23" x14ac:dyDescent="0.35">
      <c r="A131" s="211" t="s">
        <v>391</v>
      </c>
      <c r="B131" s="211" t="s">
        <v>392</v>
      </c>
      <c r="C131" s="209">
        <v>37500</v>
      </c>
      <c r="D131" s="209">
        <v>0</v>
      </c>
      <c r="E131" s="209">
        <v>0</v>
      </c>
      <c r="F131" s="209">
        <v>37500</v>
      </c>
      <c r="G131" s="242">
        <v>-37500</v>
      </c>
      <c r="H131" s="239"/>
      <c r="I131" s="239"/>
      <c r="J131" s="210">
        <v>0</v>
      </c>
      <c r="K131" s="209">
        <v>0</v>
      </c>
      <c r="L131" s="209">
        <v>-37500</v>
      </c>
      <c r="M131" s="209">
        <v>0</v>
      </c>
      <c r="N131" s="242">
        <v>0</v>
      </c>
      <c r="O131" s="239"/>
    </row>
    <row r="132" spans="1:15" ht="23" x14ac:dyDescent="0.35">
      <c r="A132" s="211" t="s">
        <v>393</v>
      </c>
      <c r="B132" s="211" t="s">
        <v>394</v>
      </c>
      <c r="C132" s="209">
        <v>37500</v>
      </c>
      <c r="D132" s="209">
        <v>0</v>
      </c>
      <c r="E132" s="209">
        <v>0</v>
      </c>
      <c r="F132" s="209">
        <v>37500</v>
      </c>
      <c r="G132" s="242">
        <v>-37500</v>
      </c>
      <c r="H132" s="239"/>
      <c r="I132" s="239"/>
      <c r="J132" s="210">
        <v>0</v>
      </c>
      <c r="K132" s="209">
        <v>0</v>
      </c>
      <c r="L132" s="209">
        <v>-37500</v>
      </c>
      <c r="M132" s="209">
        <v>0</v>
      </c>
      <c r="N132" s="242">
        <v>0</v>
      </c>
      <c r="O132" s="239"/>
    </row>
    <row r="133" spans="1:15" ht="23" x14ac:dyDescent="0.35">
      <c r="A133" s="211" t="s">
        <v>395</v>
      </c>
      <c r="B133" s="211" t="s">
        <v>396</v>
      </c>
      <c r="C133" s="209">
        <v>37500</v>
      </c>
      <c r="D133" s="209">
        <v>0</v>
      </c>
      <c r="E133" s="209">
        <v>0</v>
      </c>
      <c r="F133" s="209">
        <v>37500</v>
      </c>
      <c r="G133" s="242">
        <v>-37500</v>
      </c>
      <c r="H133" s="239"/>
      <c r="I133" s="239"/>
      <c r="J133" s="210">
        <v>0</v>
      </c>
      <c r="K133" s="209">
        <v>0</v>
      </c>
      <c r="L133" s="209">
        <v>-37500</v>
      </c>
      <c r="M133" s="209">
        <v>0</v>
      </c>
      <c r="N133" s="242">
        <v>0</v>
      </c>
      <c r="O133" s="239"/>
    </row>
    <row r="134" spans="1:15" ht="23" x14ac:dyDescent="0.35">
      <c r="A134" s="211" t="s">
        <v>397</v>
      </c>
      <c r="B134" s="211" t="s">
        <v>398</v>
      </c>
      <c r="C134" s="209">
        <v>37500</v>
      </c>
      <c r="D134" s="209">
        <v>0</v>
      </c>
      <c r="E134" s="209">
        <v>0</v>
      </c>
      <c r="F134" s="209">
        <v>37500</v>
      </c>
      <c r="G134" s="242">
        <v>-37500</v>
      </c>
      <c r="H134" s="239"/>
      <c r="I134" s="239"/>
      <c r="J134" s="210">
        <v>0</v>
      </c>
      <c r="K134" s="209">
        <v>0</v>
      </c>
      <c r="L134" s="209">
        <v>-37500</v>
      </c>
      <c r="M134" s="209">
        <v>0</v>
      </c>
      <c r="N134" s="242">
        <v>0</v>
      </c>
      <c r="O134" s="239"/>
    </row>
    <row r="135" spans="1:15" ht="23" x14ac:dyDescent="0.35">
      <c r="A135" s="211" t="s">
        <v>399</v>
      </c>
      <c r="B135" s="211" t="s">
        <v>400</v>
      </c>
      <c r="C135" s="209">
        <v>37500</v>
      </c>
      <c r="D135" s="209">
        <v>0</v>
      </c>
      <c r="E135" s="209">
        <v>0</v>
      </c>
      <c r="F135" s="209">
        <v>37500</v>
      </c>
      <c r="G135" s="242">
        <v>-37500</v>
      </c>
      <c r="H135" s="239"/>
      <c r="I135" s="239"/>
      <c r="J135" s="210">
        <v>0</v>
      </c>
      <c r="K135" s="209">
        <v>0</v>
      </c>
      <c r="L135" s="209">
        <v>-37500</v>
      </c>
      <c r="M135" s="209">
        <v>0</v>
      </c>
      <c r="N135" s="242">
        <v>0</v>
      </c>
      <c r="O135" s="239"/>
    </row>
    <row r="136" spans="1:15" ht="23" x14ac:dyDescent="0.35">
      <c r="A136" s="211" t="s">
        <v>401</v>
      </c>
      <c r="B136" s="211" t="s">
        <v>402</v>
      </c>
      <c r="C136" s="209">
        <v>37500</v>
      </c>
      <c r="D136" s="209">
        <v>0</v>
      </c>
      <c r="E136" s="209">
        <v>0</v>
      </c>
      <c r="F136" s="209">
        <v>37500</v>
      </c>
      <c r="G136" s="242">
        <v>-37500</v>
      </c>
      <c r="H136" s="239"/>
      <c r="I136" s="239"/>
      <c r="J136" s="210">
        <v>0</v>
      </c>
      <c r="K136" s="209">
        <v>0</v>
      </c>
      <c r="L136" s="209">
        <v>-37500</v>
      </c>
      <c r="M136" s="209">
        <v>0</v>
      </c>
      <c r="N136" s="242">
        <v>0</v>
      </c>
      <c r="O136" s="239"/>
    </row>
    <row r="137" spans="1:15" ht="23" x14ac:dyDescent="0.35">
      <c r="A137" s="211" t="s">
        <v>403</v>
      </c>
      <c r="B137" s="211" t="s">
        <v>404</v>
      </c>
      <c r="C137" s="209">
        <v>37500</v>
      </c>
      <c r="D137" s="209">
        <v>0</v>
      </c>
      <c r="E137" s="209">
        <v>0</v>
      </c>
      <c r="F137" s="209">
        <v>37500</v>
      </c>
      <c r="G137" s="242">
        <v>-37500</v>
      </c>
      <c r="H137" s="239"/>
      <c r="I137" s="239"/>
      <c r="J137" s="210">
        <v>0</v>
      </c>
      <c r="K137" s="209">
        <v>0</v>
      </c>
      <c r="L137" s="209">
        <v>-37500</v>
      </c>
      <c r="M137" s="209">
        <v>0</v>
      </c>
      <c r="N137" s="242">
        <v>0</v>
      </c>
      <c r="O137" s="239"/>
    </row>
    <row r="138" spans="1:15" ht="23" x14ac:dyDescent="0.35">
      <c r="A138" s="211" t="s">
        <v>405</v>
      </c>
      <c r="B138" s="211" t="s">
        <v>406</v>
      </c>
      <c r="C138" s="209">
        <v>37500</v>
      </c>
      <c r="D138" s="209">
        <v>0</v>
      </c>
      <c r="E138" s="209">
        <v>0</v>
      </c>
      <c r="F138" s="209">
        <v>37500</v>
      </c>
      <c r="G138" s="242">
        <v>-37500</v>
      </c>
      <c r="H138" s="239"/>
      <c r="I138" s="239"/>
      <c r="J138" s="210">
        <v>0</v>
      </c>
      <c r="K138" s="209">
        <v>0</v>
      </c>
      <c r="L138" s="209">
        <v>-37500</v>
      </c>
      <c r="M138" s="209">
        <v>0</v>
      </c>
      <c r="N138" s="242">
        <v>0</v>
      </c>
      <c r="O138" s="239"/>
    </row>
    <row r="139" spans="1:15" ht="23" x14ac:dyDescent="0.35">
      <c r="A139" s="211" t="s">
        <v>407</v>
      </c>
      <c r="B139" s="211" t="s">
        <v>408</v>
      </c>
      <c r="C139" s="209">
        <v>37500</v>
      </c>
      <c r="D139" s="209">
        <v>0</v>
      </c>
      <c r="E139" s="209">
        <v>0</v>
      </c>
      <c r="F139" s="209">
        <v>37500</v>
      </c>
      <c r="G139" s="242">
        <v>-37500</v>
      </c>
      <c r="H139" s="239"/>
      <c r="I139" s="239"/>
      <c r="J139" s="210">
        <v>0</v>
      </c>
      <c r="K139" s="209">
        <v>0</v>
      </c>
      <c r="L139" s="209">
        <v>-37500</v>
      </c>
      <c r="M139" s="209">
        <v>0</v>
      </c>
      <c r="N139" s="242">
        <v>0</v>
      </c>
      <c r="O139" s="239"/>
    </row>
    <row r="140" spans="1:15" ht="23" x14ac:dyDescent="0.35">
      <c r="A140" s="211" t="s">
        <v>409</v>
      </c>
      <c r="B140" s="211" t="s">
        <v>410</v>
      </c>
      <c r="C140" s="209">
        <v>37500</v>
      </c>
      <c r="D140" s="209">
        <v>0</v>
      </c>
      <c r="E140" s="209">
        <v>0</v>
      </c>
      <c r="F140" s="209">
        <v>37500</v>
      </c>
      <c r="G140" s="242">
        <v>-37500</v>
      </c>
      <c r="H140" s="239"/>
      <c r="I140" s="239"/>
      <c r="J140" s="210">
        <v>0</v>
      </c>
      <c r="K140" s="209">
        <v>0</v>
      </c>
      <c r="L140" s="209">
        <v>-37500</v>
      </c>
      <c r="M140" s="209">
        <v>0</v>
      </c>
      <c r="N140" s="242">
        <v>0</v>
      </c>
      <c r="O140" s="239"/>
    </row>
    <row r="141" spans="1:15" ht="23" x14ac:dyDescent="0.35">
      <c r="A141" s="211" t="s">
        <v>411</v>
      </c>
      <c r="B141" s="211" t="s">
        <v>412</v>
      </c>
      <c r="C141" s="209">
        <v>37500</v>
      </c>
      <c r="D141" s="209">
        <v>0</v>
      </c>
      <c r="E141" s="209">
        <v>0</v>
      </c>
      <c r="F141" s="209">
        <v>37500</v>
      </c>
      <c r="G141" s="242">
        <v>-37500</v>
      </c>
      <c r="H141" s="239"/>
      <c r="I141" s="239"/>
      <c r="J141" s="210">
        <v>0</v>
      </c>
      <c r="K141" s="209">
        <v>0</v>
      </c>
      <c r="L141" s="209">
        <v>-37500</v>
      </c>
      <c r="M141" s="209">
        <v>0</v>
      </c>
      <c r="N141" s="242">
        <v>0</v>
      </c>
      <c r="O141" s="239"/>
    </row>
    <row r="142" spans="1:15" ht="23" x14ac:dyDescent="0.35">
      <c r="A142" s="211" t="s">
        <v>413</v>
      </c>
      <c r="B142" s="211" t="s">
        <v>414</v>
      </c>
      <c r="C142" s="209">
        <v>37500</v>
      </c>
      <c r="D142" s="209">
        <v>0</v>
      </c>
      <c r="E142" s="209">
        <v>0</v>
      </c>
      <c r="F142" s="209">
        <v>37500</v>
      </c>
      <c r="G142" s="242">
        <v>-37500</v>
      </c>
      <c r="H142" s="239"/>
      <c r="I142" s="239"/>
      <c r="J142" s="210">
        <v>0</v>
      </c>
      <c r="K142" s="209">
        <v>0</v>
      </c>
      <c r="L142" s="209">
        <v>-37500</v>
      </c>
      <c r="M142" s="209">
        <v>0</v>
      </c>
      <c r="N142" s="242">
        <v>0</v>
      </c>
      <c r="O142" s="239"/>
    </row>
    <row r="143" spans="1:15" ht="23" x14ac:dyDescent="0.35">
      <c r="A143" s="211" t="s">
        <v>415</v>
      </c>
      <c r="B143" s="211" t="s">
        <v>416</v>
      </c>
      <c r="C143" s="209">
        <v>37500</v>
      </c>
      <c r="D143" s="209">
        <v>0</v>
      </c>
      <c r="E143" s="209">
        <v>0</v>
      </c>
      <c r="F143" s="209">
        <v>37500</v>
      </c>
      <c r="G143" s="242">
        <v>-37500</v>
      </c>
      <c r="H143" s="239"/>
      <c r="I143" s="239"/>
      <c r="J143" s="210">
        <v>0</v>
      </c>
      <c r="K143" s="209">
        <v>0</v>
      </c>
      <c r="L143" s="209">
        <v>-37500</v>
      </c>
      <c r="M143" s="209">
        <v>0</v>
      </c>
      <c r="N143" s="242">
        <v>0</v>
      </c>
      <c r="O143" s="239"/>
    </row>
    <row r="144" spans="1:15" ht="23" x14ac:dyDescent="0.35">
      <c r="A144" s="211" t="s">
        <v>417</v>
      </c>
      <c r="B144" s="211" t="s">
        <v>418</v>
      </c>
      <c r="C144" s="209">
        <v>37500</v>
      </c>
      <c r="D144" s="209">
        <v>0</v>
      </c>
      <c r="E144" s="209">
        <v>0</v>
      </c>
      <c r="F144" s="209">
        <v>37500</v>
      </c>
      <c r="G144" s="242">
        <v>-37500</v>
      </c>
      <c r="H144" s="239"/>
      <c r="I144" s="239"/>
      <c r="J144" s="210">
        <v>0</v>
      </c>
      <c r="K144" s="209">
        <v>0</v>
      </c>
      <c r="L144" s="209">
        <v>-37500</v>
      </c>
      <c r="M144" s="209">
        <v>0</v>
      </c>
      <c r="N144" s="242">
        <v>0</v>
      </c>
      <c r="O144" s="239"/>
    </row>
    <row r="145" spans="1:15" ht="23" x14ac:dyDescent="0.35">
      <c r="A145" s="211" t="s">
        <v>419</v>
      </c>
      <c r="B145" s="211" t="s">
        <v>420</v>
      </c>
      <c r="C145" s="209">
        <v>37500</v>
      </c>
      <c r="D145" s="209">
        <v>0</v>
      </c>
      <c r="E145" s="209">
        <v>0</v>
      </c>
      <c r="F145" s="209">
        <v>37500</v>
      </c>
      <c r="G145" s="242">
        <v>-37500</v>
      </c>
      <c r="H145" s="239"/>
      <c r="I145" s="239"/>
      <c r="J145" s="210">
        <v>0</v>
      </c>
      <c r="K145" s="209">
        <v>0</v>
      </c>
      <c r="L145" s="209">
        <v>-37500</v>
      </c>
      <c r="M145" s="209">
        <v>0</v>
      </c>
      <c r="N145" s="242">
        <v>0</v>
      </c>
      <c r="O145" s="239"/>
    </row>
    <row r="146" spans="1:15" ht="23" x14ac:dyDescent="0.35">
      <c r="A146" s="211" t="s">
        <v>421</v>
      </c>
      <c r="B146" s="211" t="s">
        <v>422</v>
      </c>
      <c r="C146" s="209">
        <v>37500</v>
      </c>
      <c r="D146" s="209">
        <v>0</v>
      </c>
      <c r="E146" s="209">
        <v>0</v>
      </c>
      <c r="F146" s="209">
        <v>37500</v>
      </c>
      <c r="G146" s="242">
        <v>-37500</v>
      </c>
      <c r="H146" s="239"/>
      <c r="I146" s="239"/>
      <c r="J146" s="210">
        <v>0</v>
      </c>
      <c r="K146" s="209">
        <v>0</v>
      </c>
      <c r="L146" s="209">
        <v>-37500</v>
      </c>
      <c r="M146" s="209">
        <v>0</v>
      </c>
      <c r="N146" s="242">
        <v>0</v>
      </c>
      <c r="O146" s="239"/>
    </row>
    <row r="147" spans="1:15" ht="23" x14ac:dyDescent="0.35">
      <c r="A147" s="211" t="s">
        <v>423</v>
      </c>
      <c r="B147" s="211" t="s">
        <v>424</v>
      </c>
      <c r="C147" s="209">
        <v>37500</v>
      </c>
      <c r="D147" s="209">
        <v>0</v>
      </c>
      <c r="E147" s="209">
        <v>0</v>
      </c>
      <c r="F147" s="209">
        <v>37500</v>
      </c>
      <c r="G147" s="242">
        <v>-37500</v>
      </c>
      <c r="H147" s="239"/>
      <c r="I147" s="239"/>
      <c r="J147" s="210">
        <v>0</v>
      </c>
      <c r="K147" s="209">
        <v>0</v>
      </c>
      <c r="L147" s="209">
        <v>-37500</v>
      </c>
      <c r="M147" s="209">
        <v>0</v>
      </c>
      <c r="N147" s="242">
        <v>0</v>
      </c>
      <c r="O147" s="239"/>
    </row>
    <row r="148" spans="1:15" ht="23" x14ac:dyDescent="0.35">
      <c r="A148" s="211" t="s">
        <v>425</v>
      </c>
      <c r="B148" s="211" t="s">
        <v>426</v>
      </c>
      <c r="C148" s="209">
        <v>37500</v>
      </c>
      <c r="D148" s="209">
        <v>0</v>
      </c>
      <c r="E148" s="209">
        <v>0</v>
      </c>
      <c r="F148" s="209">
        <v>37500</v>
      </c>
      <c r="G148" s="242">
        <v>-37500</v>
      </c>
      <c r="H148" s="239"/>
      <c r="I148" s="239"/>
      <c r="J148" s="210">
        <v>0</v>
      </c>
      <c r="K148" s="209">
        <v>0</v>
      </c>
      <c r="L148" s="209">
        <v>-37500</v>
      </c>
      <c r="M148" s="209">
        <v>0</v>
      </c>
      <c r="N148" s="242">
        <v>0</v>
      </c>
      <c r="O148" s="239"/>
    </row>
    <row r="149" spans="1:15" ht="23" x14ac:dyDescent="0.35">
      <c r="A149" s="211" t="s">
        <v>427</v>
      </c>
      <c r="B149" s="211" t="s">
        <v>428</v>
      </c>
      <c r="C149" s="209">
        <v>37500</v>
      </c>
      <c r="D149" s="209">
        <v>0</v>
      </c>
      <c r="E149" s="209">
        <v>0</v>
      </c>
      <c r="F149" s="209">
        <v>37500</v>
      </c>
      <c r="G149" s="242">
        <v>-37500</v>
      </c>
      <c r="H149" s="239"/>
      <c r="I149" s="239"/>
      <c r="J149" s="210">
        <v>0</v>
      </c>
      <c r="K149" s="209">
        <v>0</v>
      </c>
      <c r="L149" s="209">
        <v>-37500</v>
      </c>
      <c r="M149" s="209">
        <v>0</v>
      </c>
      <c r="N149" s="242">
        <v>0</v>
      </c>
      <c r="O149" s="239"/>
    </row>
    <row r="150" spans="1:15" ht="23" x14ac:dyDescent="0.35">
      <c r="A150" s="211" t="s">
        <v>429</v>
      </c>
      <c r="B150" s="211" t="s">
        <v>430</v>
      </c>
      <c r="C150" s="209">
        <v>37500</v>
      </c>
      <c r="D150" s="209">
        <v>0</v>
      </c>
      <c r="E150" s="209">
        <v>0</v>
      </c>
      <c r="F150" s="209">
        <v>37500</v>
      </c>
      <c r="G150" s="242">
        <v>-37500</v>
      </c>
      <c r="H150" s="239"/>
      <c r="I150" s="239"/>
      <c r="J150" s="210">
        <v>0</v>
      </c>
      <c r="K150" s="209">
        <v>0</v>
      </c>
      <c r="L150" s="209">
        <v>-37500</v>
      </c>
      <c r="M150" s="209">
        <v>0</v>
      </c>
      <c r="N150" s="242">
        <v>0</v>
      </c>
      <c r="O150" s="239"/>
    </row>
    <row r="151" spans="1:15" ht="23" x14ac:dyDescent="0.35">
      <c r="A151" s="211" t="s">
        <v>431</v>
      </c>
      <c r="B151" s="211" t="s">
        <v>432</v>
      </c>
      <c r="C151" s="209">
        <v>37500</v>
      </c>
      <c r="D151" s="209">
        <v>0</v>
      </c>
      <c r="E151" s="209">
        <v>0</v>
      </c>
      <c r="F151" s="209">
        <v>37500</v>
      </c>
      <c r="G151" s="242">
        <v>-37500</v>
      </c>
      <c r="H151" s="239"/>
      <c r="I151" s="239"/>
      <c r="J151" s="210">
        <v>0</v>
      </c>
      <c r="K151" s="209">
        <v>0</v>
      </c>
      <c r="L151" s="209">
        <v>-37500</v>
      </c>
      <c r="M151" s="209">
        <v>0</v>
      </c>
      <c r="N151" s="242">
        <v>0</v>
      </c>
      <c r="O151" s="239"/>
    </row>
    <row r="152" spans="1:15" ht="23" x14ac:dyDescent="0.35">
      <c r="A152" s="211" t="s">
        <v>433</v>
      </c>
      <c r="B152" s="211" t="s">
        <v>434</v>
      </c>
      <c r="C152" s="209">
        <v>37500</v>
      </c>
      <c r="D152" s="209">
        <v>0</v>
      </c>
      <c r="E152" s="209">
        <v>0</v>
      </c>
      <c r="F152" s="209">
        <v>37500</v>
      </c>
      <c r="G152" s="242">
        <v>-37500</v>
      </c>
      <c r="H152" s="239"/>
      <c r="I152" s="239"/>
      <c r="J152" s="210">
        <v>0</v>
      </c>
      <c r="K152" s="209">
        <v>0</v>
      </c>
      <c r="L152" s="209">
        <v>-37500</v>
      </c>
      <c r="M152" s="209">
        <v>0</v>
      </c>
      <c r="N152" s="242">
        <v>0</v>
      </c>
      <c r="O152" s="239"/>
    </row>
    <row r="153" spans="1:15" ht="23" x14ac:dyDescent="0.35">
      <c r="A153" s="211" t="s">
        <v>435</v>
      </c>
      <c r="B153" s="211" t="s">
        <v>436</v>
      </c>
      <c r="C153" s="209">
        <v>37500</v>
      </c>
      <c r="D153" s="209">
        <v>0</v>
      </c>
      <c r="E153" s="209">
        <v>0</v>
      </c>
      <c r="F153" s="209">
        <v>37500</v>
      </c>
      <c r="G153" s="242">
        <v>-37500</v>
      </c>
      <c r="H153" s="239"/>
      <c r="I153" s="239"/>
      <c r="J153" s="210">
        <v>0</v>
      </c>
      <c r="K153" s="209">
        <v>0</v>
      </c>
      <c r="L153" s="209">
        <v>-37500</v>
      </c>
      <c r="M153" s="209">
        <v>0</v>
      </c>
      <c r="N153" s="242">
        <v>0</v>
      </c>
      <c r="O153" s="239"/>
    </row>
    <row r="154" spans="1:15" ht="23" x14ac:dyDescent="0.35">
      <c r="A154" s="211" t="s">
        <v>437</v>
      </c>
      <c r="B154" s="211" t="s">
        <v>438</v>
      </c>
      <c r="C154" s="209">
        <v>37500</v>
      </c>
      <c r="D154" s="209">
        <v>0</v>
      </c>
      <c r="E154" s="209">
        <v>0</v>
      </c>
      <c r="F154" s="209">
        <v>37500</v>
      </c>
      <c r="G154" s="242">
        <v>-37500</v>
      </c>
      <c r="H154" s="239"/>
      <c r="I154" s="239"/>
      <c r="J154" s="210">
        <v>0</v>
      </c>
      <c r="K154" s="209">
        <v>0</v>
      </c>
      <c r="L154" s="209">
        <v>-37500</v>
      </c>
      <c r="M154" s="209">
        <v>0</v>
      </c>
      <c r="N154" s="242">
        <v>0</v>
      </c>
      <c r="O154" s="239"/>
    </row>
    <row r="155" spans="1:15" ht="23" x14ac:dyDescent="0.35">
      <c r="A155" s="211" t="s">
        <v>439</v>
      </c>
      <c r="B155" s="211" t="s">
        <v>440</v>
      </c>
      <c r="C155" s="209">
        <v>37500</v>
      </c>
      <c r="D155" s="209">
        <v>0</v>
      </c>
      <c r="E155" s="209">
        <v>0</v>
      </c>
      <c r="F155" s="209">
        <v>37500</v>
      </c>
      <c r="G155" s="242">
        <v>-37500</v>
      </c>
      <c r="H155" s="239"/>
      <c r="I155" s="239"/>
      <c r="J155" s="210">
        <v>0</v>
      </c>
      <c r="K155" s="209">
        <v>0</v>
      </c>
      <c r="L155" s="209">
        <v>-37500</v>
      </c>
      <c r="M155" s="209">
        <v>0</v>
      </c>
      <c r="N155" s="242">
        <v>0</v>
      </c>
      <c r="O155" s="239"/>
    </row>
    <row r="156" spans="1:15" ht="23" x14ac:dyDescent="0.35">
      <c r="A156" s="211" t="s">
        <v>441</v>
      </c>
      <c r="B156" s="211" t="s">
        <v>442</v>
      </c>
      <c r="C156" s="209">
        <v>37500</v>
      </c>
      <c r="D156" s="209">
        <v>0</v>
      </c>
      <c r="E156" s="209">
        <v>0</v>
      </c>
      <c r="F156" s="209">
        <v>37500</v>
      </c>
      <c r="G156" s="242">
        <v>-37500</v>
      </c>
      <c r="H156" s="239"/>
      <c r="I156" s="239"/>
      <c r="J156" s="210">
        <v>0</v>
      </c>
      <c r="K156" s="209">
        <v>0</v>
      </c>
      <c r="L156" s="209">
        <v>-37500</v>
      </c>
      <c r="M156" s="209">
        <v>0</v>
      </c>
      <c r="N156" s="242">
        <v>0</v>
      </c>
      <c r="O156" s="239"/>
    </row>
    <row r="157" spans="1:15" ht="23" x14ac:dyDescent="0.35">
      <c r="A157" s="211" t="s">
        <v>443</v>
      </c>
      <c r="B157" s="211" t="s">
        <v>444</v>
      </c>
      <c r="C157" s="209">
        <v>37500</v>
      </c>
      <c r="D157" s="209">
        <v>0</v>
      </c>
      <c r="E157" s="209">
        <v>0</v>
      </c>
      <c r="F157" s="209">
        <v>37500</v>
      </c>
      <c r="G157" s="242">
        <v>-37500</v>
      </c>
      <c r="H157" s="239"/>
      <c r="I157" s="239"/>
      <c r="J157" s="210">
        <v>0</v>
      </c>
      <c r="K157" s="209">
        <v>0</v>
      </c>
      <c r="L157" s="209">
        <v>-37500</v>
      </c>
      <c r="M157" s="209">
        <v>0</v>
      </c>
      <c r="N157" s="242">
        <v>0</v>
      </c>
      <c r="O157" s="239"/>
    </row>
    <row r="158" spans="1:15" ht="23" x14ac:dyDescent="0.35">
      <c r="A158" s="211" t="s">
        <v>445</v>
      </c>
      <c r="B158" s="211" t="s">
        <v>446</v>
      </c>
      <c r="C158" s="209">
        <v>37500</v>
      </c>
      <c r="D158" s="209">
        <v>0</v>
      </c>
      <c r="E158" s="209">
        <v>0</v>
      </c>
      <c r="F158" s="209">
        <v>37500</v>
      </c>
      <c r="G158" s="242">
        <v>-37500</v>
      </c>
      <c r="H158" s="239"/>
      <c r="I158" s="239"/>
      <c r="J158" s="210">
        <v>0</v>
      </c>
      <c r="K158" s="209">
        <v>0</v>
      </c>
      <c r="L158" s="209">
        <v>-37500</v>
      </c>
      <c r="M158" s="209">
        <v>0</v>
      </c>
      <c r="N158" s="242">
        <v>0</v>
      </c>
      <c r="O158" s="239"/>
    </row>
    <row r="159" spans="1:15" ht="23" x14ac:dyDescent="0.35">
      <c r="A159" s="211" t="s">
        <v>447</v>
      </c>
      <c r="B159" s="211" t="s">
        <v>448</v>
      </c>
      <c r="C159" s="209">
        <v>37500</v>
      </c>
      <c r="D159" s="209">
        <v>0</v>
      </c>
      <c r="E159" s="209">
        <v>0</v>
      </c>
      <c r="F159" s="209">
        <v>37500</v>
      </c>
      <c r="G159" s="242">
        <v>-37500</v>
      </c>
      <c r="H159" s="239"/>
      <c r="I159" s="239"/>
      <c r="J159" s="210">
        <v>0</v>
      </c>
      <c r="K159" s="209">
        <v>0</v>
      </c>
      <c r="L159" s="209">
        <v>-37500</v>
      </c>
      <c r="M159" s="209">
        <v>0</v>
      </c>
      <c r="N159" s="242">
        <v>0</v>
      </c>
      <c r="O159" s="239"/>
    </row>
    <row r="160" spans="1:15" ht="23" x14ac:dyDescent="0.35">
      <c r="A160" s="211" t="s">
        <v>449</v>
      </c>
      <c r="B160" s="211" t="s">
        <v>450</v>
      </c>
      <c r="C160" s="209">
        <v>37500</v>
      </c>
      <c r="D160" s="209">
        <v>0</v>
      </c>
      <c r="E160" s="209">
        <v>0</v>
      </c>
      <c r="F160" s="209">
        <v>37500</v>
      </c>
      <c r="G160" s="242">
        <v>-37500</v>
      </c>
      <c r="H160" s="239"/>
      <c r="I160" s="239"/>
      <c r="J160" s="210">
        <v>0</v>
      </c>
      <c r="K160" s="209">
        <v>0</v>
      </c>
      <c r="L160" s="209">
        <v>-37500</v>
      </c>
      <c r="M160" s="209">
        <v>0</v>
      </c>
      <c r="N160" s="242">
        <v>0</v>
      </c>
      <c r="O160" s="239"/>
    </row>
    <row r="161" spans="1:15" ht="23" x14ac:dyDescent="0.35">
      <c r="A161" s="211" t="s">
        <v>451</v>
      </c>
      <c r="B161" s="211" t="s">
        <v>452</v>
      </c>
      <c r="C161" s="209">
        <v>37500</v>
      </c>
      <c r="D161" s="209">
        <v>0</v>
      </c>
      <c r="E161" s="209">
        <v>0</v>
      </c>
      <c r="F161" s="209">
        <v>37500</v>
      </c>
      <c r="G161" s="242">
        <v>-37500</v>
      </c>
      <c r="H161" s="239"/>
      <c r="I161" s="239"/>
      <c r="J161" s="210">
        <v>0</v>
      </c>
      <c r="K161" s="209">
        <v>0</v>
      </c>
      <c r="L161" s="209">
        <v>-37500</v>
      </c>
      <c r="M161" s="209">
        <v>0</v>
      </c>
      <c r="N161" s="242">
        <v>0</v>
      </c>
      <c r="O161" s="239"/>
    </row>
    <row r="162" spans="1:15" ht="23" x14ac:dyDescent="0.35">
      <c r="A162" s="211" t="s">
        <v>453</v>
      </c>
      <c r="B162" s="211" t="s">
        <v>454</v>
      </c>
      <c r="C162" s="209">
        <v>37500</v>
      </c>
      <c r="D162" s="209">
        <v>0</v>
      </c>
      <c r="E162" s="209">
        <v>0</v>
      </c>
      <c r="F162" s="209">
        <v>37500</v>
      </c>
      <c r="G162" s="242">
        <v>-37500</v>
      </c>
      <c r="H162" s="239"/>
      <c r="I162" s="239"/>
      <c r="J162" s="210">
        <v>0</v>
      </c>
      <c r="K162" s="209">
        <v>0</v>
      </c>
      <c r="L162" s="209">
        <v>-37500</v>
      </c>
      <c r="M162" s="209">
        <v>0</v>
      </c>
      <c r="N162" s="242">
        <v>0</v>
      </c>
      <c r="O162" s="239"/>
    </row>
    <row r="163" spans="1:15" ht="23" x14ac:dyDescent="0.35">
      <c r="A163" s="211" t="s">
        <v>455</v>
      </c>
      <c r="B163" s="211" t="s">
        <v>456</v>
      </c>
      <c r="C163" s="209">
        <v>37500</v>
      </c>
      <c r="D163" s="209">
        <v>0</v>
      </c>
      <c r="E163" s="209">
        <v>0</v>
      </c>
      <c r="F163" s="209">
        <v>37500</v>
      </c>
      <c r="G163" s="242">
        <v>-37500</v>
      </c>
      <c r="H163" s="239"/>
      <c r="I163" s="239"/>
      <c r="J163" s="210">
        <v>0</v>
      </c>
      <c r="K163" s="209">
        <v>0</v>
      </c>
      <c r="L163" s="209">
        <v>-37500</v>
      </c>
      <c r="M163" s="209">
        <v>0</v>
      </c>
      <c r="N163" s="242">
        <v>0</v>
      </c>
      <c r="O163" s="239"/>
    </row>
    <row r="164" spans="1:15" ht="23" x14ac:dyDescent="0.35">
      <c r="A164" s="211" t="s">
        <v>457</v>
      </c>
      <c r="B164" s="211" t="s">
        <v>458</v>
      </c>
      <c r="C164" s="209">
        <v>70347</v>
      </c>
      <c r="D164" s="209">
        <v>0</v>
      </c>
      <c r="E164" s="209">
        <v>0</v>
      </c>
      <c r="F164" s="209">
        <v>70347</v>
      </c>
      <c r="G164" s="242">
        <v>-70347</v>
      </c>
      <c r="H164" s="239"/>
      <c r="I164" s="239"/>
      <c r="J164" s="210">
        <v>0</v>
      </c>
      <c r="K164" s="209">
        <v>0</v>
      </c>
      <c r="L164" s="209">
        <v>-70347</v>
      </c>
      <c r="M164" s="209">
        <v>0</v>
      </c>
      <c r="N164" s="242">
        <v>0</v>
      </c>
      <c r="O164" s="239"/>
    </row>
    <row r="165" spans="1:15" ht="23" x14ac:dyDescent="0.35">
      <c r="A165" s="211" t="s">
        <v>459</v>
      </c>
      <c r="B165" s="211" t="s">
        <v>460</v>
      </c>
      <c r="C165" s="209">
        <v>70347</v>
      </c>
      <c r="D165" s="209">
        <v>0</v>
      </c>
      <c r="E165" s="209">
        <v>0</v>
      </c>
      <c r="F165" s="209">
        <v>70347</v>
      </c>
      <c r="G165" s="242">
        <v>-70347</v>
      </c>
      <c r="H165" s="239"/>
      <c r="I165" s="239"/>
      <c r="J165" s="210">
        <v>0</v>
      </c>
      <c r="K165" s="209">
        <v>0</v>
      </c>
      <c r="L165" s="209">
        <v>-70347</v>
      </c>
      <c r="M165" s="209">
        <v>0</v>
      </c>
      <c r="N165" s="242">
        <v>0</v>
      </c>
      <c r="O165" s="239"/>
    </row>
    <row r="166" spans="1:15" ht="23" x14ac:dyDescent="0.35">
      <c r="A166" s="211" t="s">
        <v>461</v>
      </c>
      <c r="B166" s="211" t="s">
        <v>462</v>
      </c>
      <c r="C166" s="209">
        <v>70347</v>
      </c>
      <c r="D166" s="209">
        <v>0</v>
      </c>
      <c r="E166" s="209">
        <v>0</v>
      </c>
      <c r="F166" s="209">
        <v>70347</v>
      </c>
      <c r="G166" s="242">
        <v>-70347</v>
      </c>
      <c r="H166" s="239"/>
      <c r="I166" s="239"/>
      <c r="J166" s="210">
        <v>0</v>
      </c>
      <c r="K166" s="209">
        <v>0</v>
      </c>
      <c r="L166" s="209">
        <v>-70347</v>
      </c>
      <c r="M166" s="209">
        <v>0</v>
      </c>
      <c r="N166" s="242">
        <v>0</v>
      </c>
      <c r="O166" s="239"/>
    </row>
    <row r="167" spans="1:15" ht="23" x14ac:dyDescent="0.35">
      <c r="A167" s="211" t="s">
        <v>463</v>
      </c>
      <c r="B167" s="211" t="s">
        <v>464</v>
      </c>
      <c r="C167" s="209">
        <v>70347</v>
      </c>
      <c r="D167" s="209">
        <v>0</v>
      </c>
      <c r="E167" s="209">
        <v>0</v>
      </c>
      <c r="F167" s="209">
        <v>70347</v>
      </c>
      <c r="G167" s="242">
        <v>-70347</v>
      </c>
      <c r="H167" s="239"/>
      <c r="I167" s="239"/>
      <c r="J167" s="210">
        <v>0</v>
      </c>
      <c r="K167" s="209">
        <v>0</v>
      </c>
      <c r="L167" s="209">
        <v>-70347</v>
      </c>
      <c r="M167" s="209">
        <v>0</v>
      </c>
      <c r="N167" s="242">
        <v>0</v>
      </c>
      <c r="O167" s="239"/>
    </row>
    <row r="168" spans="1:15" ht="23" x14ac:dyDescent="0.35">
      <c r="A168" s="211" t="s">
        <v>465</v>
      </c>
      <c r="B168" s="211" t="s">
        <v>466</v>
      </c>
      <c r="C168" s="209">
        <v>70347</v>
      </c>
      <c r="D168" s="209">
        <v>0</v>
      </c>
      <c r="E168" s="209">
        <v>0</v>
      </c>
      <c r="F168" s="209">
        <v>70347</v>
      </c>
      <c r="G168" s="242">
        <v>-70347</v>
      </c>
      <c r="H168" s="239"/>
      <c r="I168" s="239"/>
      <c r="J168" s="210">
        <v>0</v>
      </c>
      <c r="K168" s="209">
        <v>0</v>
      </c>
      <c r="L168" s="209">
        <v>-70347</v>
      </c>
      <c r="M168" s="209">
        <v>0</v>
      </c>
      <c r="N168" s="242">
        <v>0</v>
      </c>
      <c r="O168" s="239"/>
    </row>
    <row r="169" spans="1:15" ht="23" x14ac:dyDescent="0.35">
      <c r="A169" s="211" t="s">
        <v>467</v>
      </c>
      <c r="B169" s="211" t="s">
        <v>468</v>
      </c>
      <c r="C169" s="209">
        <v>70347</v>
      </c>
      <c r="D169" s="209">
        <v>0</v>
      </c>
      <c r="E169" s="209">
        <v>0</v>
      </c>
      <c r="F169" s="209">
        <v>70347</v>
      </c>
      <c r="G169" s="242">
        <v>-70347</v>
      </c>
      <c r="H169" s="239"/>
      <c r="I169" s="239"/>
      <c r="J169" s="210">
        <v>0</v>
      </c>
      <c r="K169" s="209">
        <v>0</v>
      </c>
      <c r="L169" s="209">
        <v>-70347</v>
      </c>
      <c r="M169" s="209">
        <v>0</v>
      </c>
      <c r="N169" s="242">
        <v>0</v>
      </c>
      <c r="O169" s="239"/>
    </row>
    <row r="170" spans="1:15" ht="23" x14ac:dyDescent="0.35">
      <c r="A170" s="211" t="s">
        <v>469</v>
      </c>
      <c r="B170" s="211" t="s">
        <v>470</v>
      </c>
      <c r="C170" s="209">
        <v>70347</v>
      </c>
      <c r="D170" s="209">
        <v>0</v>
      </c>
      <c r="E170" s="209">
        <v>0</v>
      </c>
      <c r="F170" s="209">
        <v>70347</v>
      </c>
      <c r="G170" s="242">
        <v>-70347</v>
      </c>
      <c r="H170" s="239"/>
      <c r="I170" s="239"/>
      <c r="J170" s="210">
        <v>0</v>
      </c>
      <c r="K170" s="209">
        <v>0</v>
      </c>
      <c r="L170" s="209">
        <v>-70347</v>
      </c>
      <c r="M170" s="209">
        <v>0</v>
      </c>
      <c r="N170" s="242">
        <v>0</v>
      </c>
      <c r="O170" s="239"/>
    </row>
    <row r="171" spans="1:15" ht="23" x14ac:dyDescent="0.35">
      <c r="A171" s="211" t="s">
        <v>471</v>
      </c>
      <c r="B171" s="211" t="s">
        <v>472</v>
      </c>
      <c r="C171" s="209">
        <v>70347</v>
      </c>
      <c r="D171" s="209">
        <v>0</v>
      </c>
      <c r="E171" s="209">
        <v>0</v>
      </c>
      <c r="F171" s="209">
        <v>70347</v>
      </c>
      <c r="G171" s="242">
        <v>-70347</v>
      </c>
      <c r="H171" s="239"/>
      <c r="I171" s="239"/>
      <c r="J171" s="210">
        <v>0</v>
      </c>
      <c r="K171" s="209">
        <v>0</v>
      </c>
      <c r="L171" s="209">
        <v>-70347</v>
      </c>
      <c r="M171" s="209">
        <v>0</v>
      </c>
      <c r="N171" s="242">
        <v>0</v>
      </c>
      <c r="O171" s="239"/>
    </row>
    <row r="172" spans="1:15" ht="23" x14ac:dyDescent="0.35">
      <c r="A172" s="211" t="s">
        <v>473</v>
      </c>
      <c r="B172" s="211" t="s">
        <v>474</v>
      </c>
      <c r="C172" s="209">
        <v>70347</v>
      </c>
      <c r="D172" s="209">
        <v>0</v>
      </c>
      <c r="E172" s="209">
        <v>0</v>
      </c>
      <c r="F172" s="209">
        <v>70347</v>
      </c>
      <c r="G172" s="242">
        <v>-70347</v>
      </c>
      <c r="H172" s="239"/>
      <c r="I172" s="239"/>
      <c r="J172" s="210">
        <v>0</v>
      </c>
      <c r="K172" s="209">
        <v>0</v>
      </c>
      <c r="L172" s="209">
        <v>-70347</v>
      </c>
      <c r="M172" s="209">
        <v>0</v>
      </c>
      <c r="N172" s="242">
        <v>0</v>
      </c>
      <c r="O172" s="239"/>
    </row>
    <row r="173" spans="1:15" ht="23" x14ac:dyDescent="0.35">
      <c r="A173" s="211" t="s">
        <v>475</v>
      </c>
      <c r="B173" s="211" t="s">
        <v>476</v>
      </c>
      <c r="C173" s="209">
        <v>70347</v>
      </c>
      <c r="D173" s="209">
        <v>0</v>
      </c>
      <c r="E173" s="209">
        <v>0</v>
      </c>
      <c r="F173" s="209">
        <v>70347</v>
      </c>
      <c r="G173" s="242">
        <v>-70347</v>
      </c>
      <c r="H173" s="239"/>
      <c r="I173" s="239"/>
      <c r="J173" s="210">
        <v>0</v>
      </c>
      <c r="K173" s="209">
        <v>0</v>
      </c>
      <c r="L173" s="209">
        <v>-70347</v>
      </c>
      <c r="M173" s="209">
        <v>0</v>
      </c>
      <c r="N173" s="242">
        <v>0</v>
      </c>
      <c r="O173" s="239"/>
    </row>
    <row r="174" spans="1:15" ht="23" x14ac:dyDescent="0.35">
      <c r="A174" s="211" t="s">
        <v>477</v>
      </c>
      <c r="B174" s="211" t="s">
        <v>478</v>
      </c>
      <c r="C174" s="209">
        <v>70347</v>
      </c>
      <c r="D174" s="209">
        <v>0</v>
      </c>
      <c r="E174" s="209">
        <v>0</v>
      </c>
      <c r="F174" s="209">
        <v>70347</v>
      </c>
      <c r="G174" s="242">
        <v>-70347</v>
      </c>
      <c r="H174" s="239"/>
      <c r="I174" s="239"/>
      <c r="J174" s="210">
        <v>0</v>
      </c>
      <c r="K174" s="209">
        <v>0</v>
      </c>
      <c r="L174" s="209">
        <v>-70347</v>
      </c>
      <c r="M174" s="209">
        <v>0</v>
      </c>
      <c r="N174" s="242">
        <v>0</v>
      </c>
      <c r="O174" s="239"/>
    </row>
    <row r="175" spans="1:15" ht="23" x14ac:dyDescent="0.35">
      <c r="A175" s="211" t="s">
        <v>479</v>
      </c>
      <c r="B175" s="211" t="s">
        <v>480</v>
      </c>
      <c r="C175" s="209">
        <v>70347</v>
      </c>
      <c r="D175" s="209">
        <v>0</v>
      </c>
      <c r="E175" s="209">
        <v>0</v>
      </c>
      <c r="F175" s="209">
        <v>70347</v>
      </c>
      <c r="G175" s="242">
        <v>-70347</v>
      </c>
      <c r="H175" s="239"/>
      <c r="I175" s="239"/>
      <c r="J175" s="210">
        <v>0</v>
      </c>
      <c r="K175" s="209">
        <v>0</v>
      </c>
      <c r="L175" s="209">
        <v>-70347</v>
      </c>
      <c r="M175" s="209">
        <v>0</v>
      </c>
      <c r="N175" s="242">
        <v>0</v>
      </c>
      <c r="O175" s="239"/>
    </row>
    <row r="176" spans="1:15" ht="23" x14ac:dyDescent="0.35">
      <c r="A176" s="211" t="s">
        <v>481</v>
      </c>
      <c r="B176" s="211" t="s">
        <v>482</v>
      </c>
      <c r="C176" s="209">
        <v>70347</v>
      </c>
      <c r="D176" s="209">
        <v>0</v>
      </c>
      <c r="E176" s="209">
        <v>0</v>
      </c>
      <c r="F176" s="209">
        <v>70347</v>
      </c>
      <c r="G176" s="242">
        <v>-70347</v>
      </c>
      <c r="H176" s="239"/>
      <c r="I176" s="239"/>
      <c r="J176" s="210">
        <v>0</v>
      </c>
      <c r="K176" s="209">
        <v>0</v>
      </c>
      <c r="L176" s="209">
        <v>-70347</v>
      </c>
      <c r="M176" s="209">
        <v>0</v>
      </c>
      <c r="N176" s="242">
        <v>0</v>
      </c>
      <c r="O176" s="239"/>
    </row>
    <row r="177" spans="1:15" ht="23" x14ac:dyDescent="0.35">
      <c r="A177" s="211" t="s">
        <v>483</v>
      </c>
      <c r="B177" s="211" t="s">
        <v>484</v>
      </c>
      <c r="C177" s="209">
        <v>70347</v>
      </c>
      <c r="D177" s="209">
        <v>0</v>
      </c>
      <c r="E177" s="209">
        <v>0</v>
      </c>
      <c r="F177" s="209">
        <v>70347</v>
      </c>
      <c r="G177" s="242">
        <v>-70347</v>
      </c>
      <c r="H177" s="239"/>
      <c r="I177" s="239"/>
      <c r="J177" s="210">
        <v>0</v>
      </c>
      <c r="K177" s="209">
        <v>0</v>
      </c>
      <c r="L177" s="209">
        <v>-70347</v>
      </c>
      <c r="M177" s="209">
        <v>0</v>
      </c>
      <c r="N177" s="242">
        <v>0</v>
      </c>
      <c r="O177" s="239"/>
    </row>
    <row r="178" spans="1:15" ht="23" x14ac:dyDescent="0.35">
      <c r="A178" s="211" t="s">
        <v>485</v>
      </c>
      <c r="B178" s="211" t="s">
        <v>486</v>
      </c>
      <c r="C178" s="209">
        <v>70347</v>
      </c>
      <c r="D178" s="209">
        <v>0</v>
      </c>
      <c r="E178" s="209">
        <v>0</v>
      </c>
      <c r="F178" s="209">
        <v>70347</v>
      </c>
      <c r="G178" s="242">
        <v>-70347</v>
      </c>
      <c r="H178" s="239"/>
      <c r="I178" s="239"/>
      <c r="J178" s="210">
        <v>0</v>
      </c>
      <c r="K178" s="209">
        <v>0</v>
      </c>
      <c r="L178" s="209">
        <v>-70347</v>
      </c>
      <c r="M178" s="209">
        <v>0</v>
      </c>
      <c r="N178" s="242">
        <v>0</v>
      </c>
      <c r="O178" s="239"/>
    </row>
    <row r="179" spans="1:15" ht="23" x14ac:dyDescent="0.35">
      <c r="A179" s="211" t="s">
        <v>487</v>
      </c>
      <c r="B179" s="211" t="s">
        <v>488</v>
      </c>
      <c r="C179" s="209">
        <v>70347</v>
      </c>
      <c r="D179" s="209">
        <v>0</v>
      </c>
      <c r="E179" s="209">
        <v>0</v>
      </c>
      <c r="F179" s="209">
        <v>70347</v>
      </c>
      <c r="G179" s="242">
        <v>-70347</v>
      </c>
      <c r="H179" s="239"/>
      <c r="I179" s="239"/>
      <c r="J179" s="210">
        <v>0</v>
      </c>
      <c r="K179" s="209">
        <v>0</v>
      </c>
      <c r="L179" s="209">
        <v>-70347</v>
      </c>
      <c r="M179" s="209">
        <v>0</v>
      </c>
      <c r="N179" s="242">
        <v>0</v>
      </c>
      <c r="O179" s="239"/>
    </row>
    <row r="180" spans="1:15" ht="23" x14ac:dyDescent="0.35">
      <c r="A180" s="211" t="s">
        <v>489</v>
      </c>
      <c r="B180" s="211" t="s">
        <v>490</v>
      </c>
      <c r="C180" s="209">
        <v>70347</v>
      </c>
      <c r="D180" s="209">
        <v>0</v>
      </c>
      <c r="E180" s="209">
        <v>0</v>
      </c>
      <c r="F180" s="209">
        <v>70347</v>
      </c>
      <c r="G180" s="242">
        <v>-70347</v>
      </c>
      <c r="H180" s="239"/>
      <c r="I180" s="239"/>
      <c r="J180" s="210">
        <v>0</v>
      </c>
      <c r="K180" s="209">
        <v>0</v>
      </c>
      <c r="L180" s="209">
        <v>-70347</v>
      </c>
      <c r="M180" s="209">
        <v>0</v>
      </c>
      <c r="N180" s="242">
        <v>0</v>
      </c>
      <c r="O180" s="239"/>
    </row>
    <row r="181" spans="1:15" ht="23" x14ac:dyDescent="0.35">
      <c r="A181" s="211" t="s">
        <v>491</v>
      </c>
      <c r="B181" s="211" t="s">
        <v>492</v>
      </c>
      <c r="C181" s="209">
        <v>70347</v>
      </c>
      <c r="D181" s="209">
        <v>0</v>
      </c>
      <c r="E181" s="209">
        <v>0</v>
      </c>
      <c r="F181" s="209">
        <v>70347</v>
      </c>
      <c r="G181" s="242">
        <v>-70347</v>
      </c>
      <c r="H181" s="239"/>
      <c r="I181" s="239"/>
      <c r="J181" s="210">
        <v>0</v>
      </c>
      <c r="K181" s="209">
        <v>0</v>
      </c>
      <c r="L181" s="209">
        <v>-70347</v>
      </c>
      <c r="M181" s="209">
        <v>0</v>
      </c>
      <c r="N181" s="242">
        <v>0</v>
      </c>
      <c r="O181" s="239"/>
    </row>
    <row r="182" spans="1:15" ht="23" x14ac:dyDescent="0.35">
      <c r="A182" s="211" t="s">
        <v>493</v>
      </c>
      <c r="B182" s="211" t="s">
        <v>494</v>
      </c>
      <c r="C182" s="209">
        <v>70347</v>
      </c>
      <c r="D182" s="209">
        <v>0</v>
      </c>
      <c r="E182" s="209">
        <v>0</v>
      </c>
      <c r="F182" s="209">
        <v>70347</v>
      </c>
      <c r="G182" s="242">
        <v>-70347</v>
      </c>
      <c r="H182" s="239"/>
      <c r="I182" s="239"/>
      <c r="J182" s="210">
        <v>0</v>
      </c>
      <c r="K182" s="209">
        <v>0</v>
      </c>
      <c r="L182" s="209">
        <v>-70347</v>
      </c>
      <c r="M182" s="209">
        <v>0</v>
      </c>
      <c r="N182" s="242">
        <v>0</v>
      </c>
      <c r="O182" s="239"/>
    </row>
    <row r="183" spans="1:15" ht="23" x14ac:dyDescent="0.35">
      <c r="A183" s="211" t="s">
        <v>495</v>
      </c>
      <c r="B183" s="211" t="s">
        <v>496</v>
      </c>
      <c r="C183" s="209">
        <v>70347</v>
      </c>
      <c r="D183" s="209">
        <v>0</v>
      </c>
      <c r="E183" s="209">
        <v>0</v>
      </c>
      <c r="F183" s="209">
        <v>70347</v>
      </c>
      <c r="G183" s="242">
        <v>-70347</v>
      </c>
      <c r="H183" s="239"/>
      <c r="I183" s="239"/>
      <c r="J183" s="210">
        <v>0</v>
      </c>
      <c r="K183" s="209">
        <v>0</v>
      </c>
      <c r="L183" s="209">
        <v>-70347</v>
      </c>
      <c r="M183" s="209">
        <v>0</v>
      </c>
      <c r="N183" s="242">
        <v>0</v>
      </c>
      <c r="O183" s="239"/>
    </row>
    <row r="184" spans="1:15" ht="23" x14ac:dyDescent="0.35">
      <c r="A184" s="211" t="s">
        <v>497</v>
      </c>
      <c r="B184" s="211" t="s">
        <v>498</v>
      </c>
      <c r="C184" s="209">
        <v>70347</v>
      </c>
      <c r="D184" s="209">
        <v>0</v>
      </c>
      <c r="E184" s="209">
        <v>0</v>
      </c>
      <c r="F184" s="209">
        <v>70347</v>
      </c>
      <c r="G184" s="242">
        <v>-70347</v>
      </c>
      <c r="H184" s="239"/>
      <c r="I184" s="239"/>
      <c r="J184" s="210">
        <v>0</v>
      </c>
      <c r="K184" s="209">
        <v>0</v>
      </c>
      <c r="L184" s="209">
        <v>-70347</v>
      </c>
      <c r="M184" s="209">
        <v>0</v>
      </c>
      <c r="N184" s="242">
        <v>0</v>
      </c>
      <c r="O184" s="239"/>
    </row>
    <row r="185" spans="1:15" ht="23" x14ac:dyDescent="0.35">
      <c r="A185" s="211" t="s">
        <v>499</v>
      </c>
      <c r="B185" s="211" t="s">
        <v>500</v>
      </c>
      <c r="C185" s="209">
        <v>70347</v>
      </c>
      <c r="D185" s="209">
        <v>0</v>
      </c>
      <c r="E185" s="209">
        <v>0</v>
      </c>
      <c r="F185" s="209">
        <v>70347</v>
      </c>
      <c r="G185" s="242">
        <v>-70347</v>
      </c>
      <c r="H185" s="239"/>
      <c r="I185" s="239"/>
      <c r="J185" s="210">
        <v>0</v>
      </c>
      <c r="K185" s="209">
        <v>0</v>
      </c>
      <c r="L185" s="209">
        <v>-70347</v>
      </c>
      <c r="M185" s="209">
        <v>0</v>
      </c>
      <c r="N185" s="242">
        <v>0</v>
      </c>
      <c r="O185" s="239"/>
    </row>
    <row r="186" spans="1:15" ht="23" x14ac:dyDescent="0.35">
      <c r="A186" s="211" t="s">
        <v>501</v>
      </c>
      <c r="B186" s="211" t="s">
        <v>502</v>
      </c>
      <c r="C186" s="209">
        <v>70347</v>
      </c>
      <c r="D186" s="209">
        <v>0</v>
      </c>
      <c r="E186" s="209">
        <v>0</v>
      </c>
      <c r="F186" s="209">
        <v>70347</v>
      </c>
      <c r="G186" s="242">
        <v>-70347</v>
      </c>
      <c r="H186" s="239"/>
      <c r="I186" s="239"/>
      <c r="J186" s="210">
        <v>0</v>
      </c>
      <c r="K186" s="209">
        <v>0</v>
      </c>
      <c r="L186" s="209">
        <v>-70347</v>
      </c>
      <c r="M186" s="209">
        <v>0</v>
      </c>
      <c r="N186" s="242">
        <v>0</v>
      </c>
      <c r="O186" s="239"/>
    </row>
    <row r="187" spans="1:15" ht="23" x14ac:dyDescent="0.35">
      <c r="A187" s="211" t="s">
        <v>503</v>
      </c>
      <c r="B187" s="211" t="s">
        <v>504</v>
      </c>
      <c r="C187" s="209">
        <v>70347</v>
      </c>
      <c r="D187" s="209">
        <v>0</v>
      </c>
      <c r="E187" s="209">
        <v>0</v>
      </c>
      <c r="F187" s="209">
        <v>70347</v>
      </c>
      <c r="G187" s="242">
        <v>-70347</v>
      </c>
      <c r="H187" s="239"/>
      <c r="I187" s="239"/>
      <c r="J187" s="210">
        <v>0</v>
      </c>
      <c r="K187" s="209">
        <v>0</v>
      </c>
      <c r="L187" s="209">
        <v>-70347</v>
      </c>
      <c r="M187" s="209">
        <v>0</v>
      </c>
      <c r="N187" s="242">
        <v>0</v>
      </c>
      <c r="O187" s="239"/>
    </row>
    <row r="188" spans="1:15" ht="23" x14ac:dyDescent="0.35">
      <c r="A188" s="211" t="s">
        <v>505</v>
      </c>
      <c r="B188" s="211" t="s">
        <v>506</v>
      </c>
      <c r="C188" s="209">
        <v>70347</v>
      </c>
      <c r="D188" s="209">
        <v>0</v>
      </c>
      <c r="E188" s="209">
        <v>0</v>
      </c>
      <c r="F188" s="209">
        <v>70347</v>
      </c>
      <c r="G188" s="242">
        <v>-70347</v>
      </c>
      <c r="H188" s="239"/>
      <c r="I188" s="239"/>
      <c r="J188" s="210">
        <v>0</v>
      </c>
      <c r="K188" s="209">
        <v>0</v>
      </c>
      <c r="L188" s="209">
        <v>-70347</v>
      </c>
      <c r="M188" s="209">
        <v>0</v>
      </c>
      <c r="N188" s="242">
        <v>0</v>
      </c>
      <c r="O188" s="239"/>
    </row>
    <row r="189" spans="1:15" ht="23" x14ac:dyDescent="0.35">
      <c r="A189" s="211" t="s">
        <v>507</v>
      </c>
      <c r="B189" s="211" t="s">
        <v>508</v>
      </c>
      <c r="C189" s="209">
        <v>70347</v>
      </c>
      <c r="D189" s="209">
        <v>0</v>
      </c>
      <c r="E189" s="209">
        <v>0</v>
      </c>
      <c r="F189" s="209">
        <v>70347</v>
      </c>
      <c r="G189" s="242">
        <v>-70347</v>
      </c>
      <c r="H189" s="239"/>
      <c r="I189" s="239"/>
      <c r="J189" s="210">
        <v>0</v>
      </c>
      <c r="K189" s="209">
        <v>0</v>
      </c>
      <c r="L189" s="209">
        <v>-70347</v>
      </c>
      <c r="M189" s="209">
        <v>0</v>
      </c>
      <c r="N189" s="242">
        <v>0</v>
      </c>
      <c r="O189" s="239"/>
    </row>
    <row r="190" spans="1:15" ht="23" x14ac:dyDescent="0.35">
      <c r="A190" s="211" t="s">
        <v>509</v>
      </c>
      <c r="B190" s="211" t="s">
        <v>510</v>
      </c>
      <c r="C190" s="209">
        <v>70347</v>
      </c>
      <c r="D190" s="209">
        <v>0</v>
      </c>
      <c r="E190" s="209">
        <v>0</v>
      </c>
      <c r="F190" s="209">
        <v>70347</v>
      </c>
      <c r="G190" s="242">
        <v>-70347</v>
      </c>
      <c r="H190" s="239"/>
      <c r="I190" s="239"/>
      <c r="J190" s="210">
        <v>0</v>
      </c>
      <c r="K190" s="209">
        <v>0</v>
      </c>
      <c r="L190" s="209">
        <v>-70347</v>
      </c>
      <c r="M190" s="209">
        <v>0</v>
      </c>
      <c r="N190" s="242">
        <v>0</v>
      </c>
      <c r="O190" s="239"/>
    </row>
    <row r="191" spans="1:15" ht="23" x14ac:dyDescent="0.35">
      <c r="A191" s="211" t="s">
        <v>511</v>
      </c>
      <c r="B191" s="211" t="s">
        <v>512</v>
      </c>
      <c r="C191" s="209">
        <v>70348</v>
      </c>
      <c r="D191" s="209">
        <v>0</v>
      </c>
      <c r="E191" s="209">
        <v>0</v>
      </c>
      <c r="F191" s="209">
        <v>70348</v>
      </c>
      <c r="G191" s="242">
        <v>-70348</v>
      </c>
      <c r="H191" s="239"/>
      <c r="I191" s="239"/>
      <c r="J191" s="210">
        <v>0</v>
      </c>
      <c r="K191" s="209">
        <v>0</v>
      </c>
      <c r="L191" s="209">
        <v>-70348</v>
      </c>
      <c r="M191" s="209">
        <v>0</v>
      </c>
      <c r="N191" s="242">
        <v>0</v>
      </c>
      <c r="O191" s="239"/>
    </row>
    <row r="192" spans="1:15" ht="23" x14ac:dyDescent="0.35">
      <c r="A192" s="211" t="s">
        <v>513</v>
      </c>
      <c r="B192" s="211" t="s">
        <v>514</v>
      </c>
      <c r="C192" s="209">
        <v>70348</v>
      </c>
      <c r="D192" s="209">
        <v>0</v>
      </c>
      <c r="E192" s="209">
        <v>0</v>
      </c>
      <c r="F192" s="209">
        <v>70348</v>
      </c>
      <c r="G192" s="242">
        <v>-70348</v>
      </c>
      <c r="H192" s="239"/>
      <c r="I192" s="239"/>
      <c r="J192" s="210">
        <v>0</v>
      </c>
      <c r="K192" s="209">
        <v>0</v>
      </c>
      <c r="L192" s="209">
        <v>-70348</v>
      </c>
      <c r="M192" s="209">
        <v>0</v>
      </c>
      <c r="N192" s="242">
        <v>0</v>
      </c>
      <c r="O192" s="239"/>
    </row>
    <row r="193" spans="1:15" ht="23" x14ac:dyDescent="0.35">
      <c r="A193" s="211" t="s">
        <v>515</v>
      </c>
      <c r="B193" s="211" t="s">
        <v>516</v>
      </c>
      <c r="C193" s="209">
        <v>70348</v>
      </c>
      <c r="D193" s="209">
        <v>0</v>
      </c>
      <c r="E193" s="209">
        <v>0</v>
      </c>
      <c r="F193" s="209">
        <v>70348</v>
      </c>
      <c r="G193" s="242">
        <v>-70348</v>
      </c>
      <c r="H193" s="239"/>
      <c r="I193" s="239"/>
      <c r="J193" s="210">
        <v>0</v>
      </c>
      <c r="K193" s="209">
        <v>0</v>
      </c>
      <c r="L193" s="209">
        <v>-70348</v>
      </c>
      <c r="M193" s="209">
        <v>0</v>
      </c>
      <c r="N193" s="242">
        <v>0</v>
      </c>
      <c r="O193" s="239"/>
    </row>
    <row r="194" spans="1:15" ht="23" x14ac:dyDescent="0.35">
      <c r="A194" s="211" t="s">
        <v>517</v>
      </c>
      <c r="B194" s="211" t="s">
        <v>518</v>
      </c>
      <c r="C194" s="209">
        <v>70348</v>
      </c>
      <c r="D194" s="209">
        <v>0</v>
      </c>
      <c r="E194" s="209">
        <v>0</v>
      </c>
      <c r="F194" s="209">
        <v>70348</v>
      </c>
      <c r="G194" s="242">
        <v>-70348</v>
      </c>
      <c r="H194" s="239"/>
      <c r="I194" s="239"/>
      <c r="J194" s="210">
        <v>0</v>
      </c>
      <c r="K194" s="209">
        <v>0</v>
      </c>
      <c r="L194" s="209">
        <v>-70348</v>
      </c>
      <c r="M194" s="209">
        <v>0</v>
      </c>
      <c r="N194" s="242">
        <v>0</v>
      </c>
      <c r="O194" s="239"/>
    </row>
    <row r="195" spans="1:15" ht="23" x14ac:dyDescent="0.35">
      <c r="A195" s="211" t="s">
        <v>519</v>
      </c>
      <c r="B195" s="211" t="s">
        <v>520</v>
      </c>
      <c r="C195" s="209">
        <v>70348</v>
      </c>
      <c r="D195" s="209">
        <v>0</v>
      </c>
      <c r="E195" s="209">
        <v>0</v>
      </c>
      <c r="F195" s="209">
        <v>70348</v>
      </c>
      <c r="G195" s="242">
        <v>-70348</v>
      </c>
      <c r="H195" s="239"/>
      <c r="I195" s="239"/>
      <c r="J195" s="210">
        <v>0</v>
      </c>
      <c r="K195" s="209">
        <v>0</v>
      </c>
      <c r="L195" s="209">
        <v>-70348</v>
      </c>
      <c r="M195" s="209">
        <v>0</v>
      </c>
      <c r="N195" s="242">
        <v>0</v>
      </c>
      <c r="O195" s="239"/>
    </row>
    <row r="196" spans="1:15" ht="23" x14ac:dyDescent="0.35">
      <c r="A196" s="211" t="s">
        <v>521</v>
      </c>
      <c r="B196" s="211" t="s">
        <v>522</v>
      </c>
      <c r="C196" s="209">
        <v>70348</v>
      </c>
      <c r="D196" s="209">
        <v>0</v>
      </c>
      <c r="E196" s="209">
        <v>0</v>
      </c>
      <c r="F196" s="209">
        <v>70348</v>
      </c>
      <c r="G196" s="242">
        <v>-70348</v>
      </c>
      <c r="H196" s="239"/>
      <c r="I196" s="239"/>
      <c r="J196" s="210">
        <v>0</v>
      </c>
      <c r="K196" s="209">
        <v>0</v>
      </c>
      <c r="L196" s="209">
        <v>-70348</v>
      </c>
      <c r="M196" s="209">
        <v>0</v>
      </c>
      <c r="N196" s="242">
        <v>0</v>
      </c>
      <c r="O196" s="239"/>
    </row>
    <row r="197" spans="1:15" ht="23" x14ac:dyDescent="0.35">
      <c r="A197" s="211" t="s">
        <v>523</v>
      </c>
      <c r="B197" s="211" t="s">
        <v>524</v>
      </c>
      <c r="C197" s="209">
        <v>70348</v>
      </c>
      <c r="D197" s="209">
        <v>0</v>
      </c>
      <c r="E197" s="209">
        <v>0</v>
      </c>
      <c r="F197" s="209">
        <v>70348</v>
      </c>
      <c r="G197" s="242">
        <v>-70348</v>
      </c>
      <c r="H197" s="239"/>
      <c r="I197" s="239"/>
      <c r="J197" s="210">
        <v>0</v>
      </c>
      <c r="K197" s="209">
        <v>0</v>
      </c>
      <c r="L197" s="209">
        <v>-70348</v>
      </c>
      <c r="M197" s="209">
        <v>0</v>
      </c>
      <c r="N197" s="242">
        <v>0</v>
      </c>
      <c r="O197" s="239"/>
    </row>
    <row r="198" spans="1:15" ht="23" x14ac:dyDescent="0.35">
      <c r="A198" s="211" t="s">
        <v>525</v>
      </c>
      <c r="B198" s="211" t="s">
        <v>526</v>
      </c>
      <c r="C198" s="209">
        <v>70348</v>
      </c>
      <c r="D198" s="209">
        <v>0</v>
      </c>
      <c r="E198" s="209">
        <v>0</v>
      </c>
      <c r="F198" s="209">
        <v>70348</v>
      </c>
      <c r="G198" s="242">
        <v>-70348</v>
      </c>
      <c r="H198" s="239"/>
      <c r="I198" s="239"/>
      <c r="J198" s="210">
        <v>0</v>
      </c>
      <c r="K198" s="209">
        <v>0</v>
      </c>
      <c r="L198" s="209">
        <v>-70348</v>
      </c>
      <c r="M198" s="209">
        <v>0</v>
      </c>
      <c r="N198" s="242">
        <v>0</v>
      </c>
      <c r="O198" s="239"/>
    </row>
    <row r="199" spans="1:15" ht="23" x14ac:dyDescent="0.35">
      <c r="A199" s="211" t="s">
        <v>527</v>
      </c>
      <c r="B199" s="211" t="s">
        <v>528</v>
      </c>
      <c r="C199" s="209">
        <v>70348</v>
      </c>
      <c r="D199" s="209">
        <v>0</v>
      </c>
      <c r="E199" s="209">
        <v>0</v>
      </c>
      <c r="F199" s="209">
        <v>70348</v>
      </c>
      <c r="G199" s="242">
        <v>-70348</v>
      </c>
      <c r="H199" s="239"/>
      <c r="I199" s="239"/>
      <c r="J199" s="210">
        <v>0</v>
      </c>
      <c r="K199" s="209">
        <v>0</v>
      </c>
      <c r="L199" s="209">
        <v>-70348</v>
      </c>
      <c r="M199" s="209">
        <v>0</v>
      </c>
      <c r="N199" s="242">
        <v>0</v>
      </c>
      <c r="O199" s="239"/>
    </row>
    <row r="200" spans="1:15" ht="23" x14ac:dyDescent="0.35">
      <c r="A200" s="211" t="s">
        <v>529</v>
      </c>
      <c r="B200" s="211" t="s">
        <v>530</v>
      </c>
      <c r="C200" s="209">
        <v>70348</v>
      </c>
      <c r="D200" s="209">
        <v>0</v>
      </c>
      <c r="E200" s="209">
        <v>0</v>
      </c>
      <c r="F200" s="209">
        <v>70348</v>
      </c>
      <c r="G200" s="242">
        <v>-70348</v>
      </c>
      <c r="H200" s="239"/>
      <c r="I200" s="239"/>
      <c r="J200" s="210">
        <v>0</v>
      </c>
      <c r="K200" s="209">
        <v>0</v>
      </c>
      <c r="L200" s="209">
        <v>-70348</v>
      </c>
      <c r="M200" s="209">
        <v>0</v>
      </c>
      <c r="N200" s="242">
        <v>0</v>
      </c>
      <c r="O200" s="239"/>
    </row>
    <row r="201" spans="1:15" ht="23" x14ac:dyDescent="0.35">
      <c r="A201" s="211" t="s">
        <v>531</v>
      </c>
      <c r="B201" s="211" t="s">
        <v>532</v>
      </c>
      <c r="C201" s="209">
        <v>70348</v>
      </c>
      <c r="D201" s="209">
        <v>0</v>
      </c>
      <c r="E201" s="209">
        <v>0</v>
      </c>
      <c r="F201" s="209">
        <v>70348</v>
      </c>
      <c r="G201" s="242">
        <v>-70348</v>
      </c>
      <c r="H201" s="239"/>
      <c r="I201" s="239"/>
      <c r="J201" s="210">
        <v>0</v>
      </c>
      <c r="K201" s="209">
        <v>0</v>
      </c>
      <c r="L201" s="209">
        <v>-70348</v>
      </c>
      <c r="M201" s="209">
        <v>0</v>
      </c>
      <c r="N201" s="242">
        <v>0</v>
      </c>
      <c r="O201" s="239"/>
    </row>
    <row r="202" spans="1:15" ht="23" x14ac:dyDescent="0.35">
      <c r="A202" s="211" t="s">
        <v>533</v>
      </c>
      <c r="B202" s="211" t="s">
        <v>534</v>
      </c>
      <c r="C202" s="209">
        <v>70348</v>
      </c>
      <c r="D202" s="209">
        <v>0</v>
      </c>
      <c r="E202" s="209">
        <v>0</v>
      </c>
      <c r="F202" s="209">
        <v>70348</v>
      </c>
      <c r="G202" s="242">
        <v>-70348</v>
      </c>
      <c r="H202" s="239"/>
      <c r="I202" s="239"/>
      <c r="J202" s="210">
        <v>0</v>
      </c>
      <c r="K202" s="209">
        <v>0</v>
      </c>
      <c r="L202" s="209">
        <v>-70348</v>
      </c>
      <c r="M202" s="209">
        <v>0</v>
      </c>
      <c r="N202" s="242">
        <v>0</v>
      </c>
      <c r="O202" s="239"/>
    </row>
    <row r="203" spans="1:15" ht="23" x14ac:dyDescent="0.35">
      <c r="A203" s="211" t="s">
        <v>535</v>
      </c>
      <c r="B203" s="211" t="s">
        <v>536</v>
      </c>
      <c r="C203" s="209">
        <v>70348</v>
      </c>
      <c r="D203" s="209">
        <v>0</v>
      </c>
      <c r="E203" s="209">
        <v>0</v>
      </c>
      <c r="F203" s="209">
        <v>70348</v>
      </c>
      <c r="G203" s="242">
        <v>-70348</v>
      </c>
      <c r="H203" s="239"/>
      <c r="I203" s="239"/>
      <c r="J203" s="210">
        <v>0</v>
      </c>
      <c r="K203" s="209">
        <v>0</v>
      </c>
      <c r="L203" s="209">
        <v>-70348</v>
      </c>
      <c r="M203" s="209">
        <v>0</v>
      </c>
      <c r="N203" s="242">
        <v>0</v>
      </c>
      <c r="O203" s="239"/>
    </row>
    <row r="204" spans="1:15" ht="23" x14ac:dyDescent="0.35">
      <c r="A204" s="211" t="s">
        <v>537</v>
      </c>
      <c r="B204" s="211" t="s">
        <v>538</v>
      </c>
      <c r="C204" s="209">
        <v>70348</v>
      </c>
      <c r="D204" s="209">
        <v>0</v>
      </c>
      <c r="E204" s="209">
        <v>0</v>
      </c>
      <c r="F204" s="209">
        <v>70348</v>
      </c>
      <c r="G204" s="242">
        <v>-70348</v>
      </c>
      <c r="H204" s="239"/>
      <c r="I204" s="239"/>
      <c r="J204" s="210">
        <v>0</v>
      </c>
      <c r="K204" s="209">
        <v>0</v>
      </c>
      <c r="L204" s="209">
        <v>-70348</v>
      </c>
      <c r="M204" s="209">
        <v>0</v>
      </c>
      <c r="N204" s="242">
        <v>0</v>
      </c>
      <c r="O204" s="239"/>
    </row>
    <row r="205" spans="1:15" ht="23" x14ac:dyDescent="0.35">
      <c r="A205" s="211" t="s">
        <v>539</v>
      </c>
      <c r="B205" s="211" t="s">
        <v>540</v>
      </c>
      <c r="C205" s="209">
        <v>70348</v>
      </c>
      <c r="D205" s="209">
        <v>0</v>
      </c>
      <c r="E205" s="209">
        <v>0</v>
      </c>
      <c r="F205" s="209">
        <v>70348</v>
      </c>
      <c r="G205" s="242">
        <v>-70348</v>
      </c>
      <c r="H205" s="239"/>
      <c r="I205" s="239"/>
      <c r="J205" s="210">
        <v>0</v>
      </c>
      <c r="K205" s="209">
        <v>0</v>
      </c>
      <c r="L205" s="209">
        <v>-70348</v>
      </c>
      <c r="M205" s="209">
        <v>0</v>
      </c>
      <c r="N205" s="242">
        <v>0</v>
      </c>
      <c r="O205" s="239"/>
    </row>
    <row r="206" spans="1:15" ht="23" x14ac:dyDescent="0.35">
      <c r="A206" s="211" t="s">
        <v>541</v>
      </c>
      <c r="B206" s="211" t="s">
        <v>542</v>
      </c>
      <c r="C206" s="209">
        <v>70348</v>
      </c>
      <c r="D206" s="209">
        <v>0</v>
      </c>
      <c r="E206" s="209">
        <v>0</v>
      </c>
      <c r="F206" s="209">
        <v>70348</v>
      </c>
      <c r="G206" s="242">
        <v>-70348</v>
      </c>
      <c r="H206" s="239"/>
      <c r="I206" s="239"/>
      <c r="J206" s="210">
        <v>0</v>
      </c>
      <c r="K206" s="209">
        <v>0</v>
      </c>
      <c r="L206" s="209">
        <v>-70348</v>
      </c>
      <c r="M206" s="209">
        <v>0</v>
      </c>
      <c r="N206" s="242">
        <v>0</v>
      </c>
      <c r="O206" s="239"/>
    </row>
    <row r="207" spans="1:15" ht="23" x14ac:dyDescent="0.35">
      <c r="A207" s="211" t="s">
        <v>543</v>
      </c>
      <c r="B207" s="211" t="s">
        <v>544</v>
      </c>
      <c r="C207" s="209">
        <v>70348</v>
      </c>
      <c r="D207" s="209">
        <v>0</v>
      </c>
      <c r="E207" s="209">
        <v>0</v>
      </c>
      <c r="F207" s="209">
        <v>70348</v>
      </c>
      <c r="G207" s="242">
        <v>-70348</v>
      </c>
      <c r="H207" s="239"/>
      <c r="I207" s="239"/>
      <c r="J207" s="210">
        <v>0</v>
      </c>
      <c r="K207" s="209">
        <v>0</v>
      </c>
      <c r="L207" s="209">
        <v>-70348</v>
      </c>
      <c r="M207" s="209">
        <v>0</v>
      </c>
      <c r="N207" s="242">
        <v>0</v>
      </c>
      <c r="O207" s="239"/>
    </row>
    <row r="208" spans="1:15" ht="23" x14ac:dyDescent="0.35">
      <c r="A208" s="211" t="s">
        <v>545</v>
      </c>
      <c r="B208" s="211" t="s">
        <v>546</v>
      </c>
      <c r="C208" s="209">
        <v>70348</v>
      </c>
      <c r="D208" s="209">
        <v>0</v>
      </c>
      <c r="E208" s="209">
        <v>0</v>
      </c>
      <c r="F208" s="209">
        <v>70348</v>
      </c>
      <c r="G208" s="242">
        <v>-70348</v>
      </c>
      <c r="H208" s="239"/>
      <c r="I208" s="239"/>
      <c r="J208" s="210">
        <v>0</v>
      </c>
      <c r="K208" s="209">
        <v>0</v>
      </c>
      <c r="L208" s="209">
        <v>-70348</v>
      </c>
      <c r="M208" s="209">
        <v>0</v>
      </c>
      <c r="N208" s="242">
        <v>0</v>
      </c>
      <c r="O208" s="239"/>
    </row>
    <row r="209" spans="1:15" ht="23" x14ac:dyDescent="0.35">
      <c r="A209" s="211" t="s">
        <v>547</v>
      </c>
      <c r="B209" s="211" t="s">
        <v>548</v>
      </c>
      <c r="C209" s="209">
        <v>70348</v>
      </c>
      <c r="D209" s="209">
        <v>0</v>
      </c>
      <c r="E209" s="209">
        <v>0</v>
      </c>
      <c r="F209" s="209">
        <v>70348</v>
      </c>
      <c r="G209" s="242">
        <v>-70348</v>
      </c>
      <c r="H209" s="239"/>
      <c r="I209" s="239"/>
      <c r="J209" s="210">
        <v>0</v>
      </c>
      <c r="K209" s="209">
        <v>0</v>
      </c>
      <c r="L209" s="209">
        <v>-70348</v>
      </c>
      <c r="M209" s="209">
        <v>0</v>
      </c>
      <c r="N209" s="242">
        <v>0</v>
      </c>
      <c r="O209" s="239"/>
    </row>
    <row r="210" spans="1:15" ht="23" x14ac:dyDescent="0.35">
      <c r="A210" s="211" t="s">
        <v>549</v>
      </c>
      <c r="B210" s="211" t="s">
        <v>550</v>
      </c>
      <c r="C210" s="209">
        <v>70348</v>
      </c>
      <c r="D210" s="209">
        <v>0</v>
      </c>
      <c r="E210" s="209">
        <v>0</v>
      </c>
      <c r="F210" s="209">
        <v>70348</v>
      </c>
      <c r="G210" s="242">
        <v>-70348</v>
      </c>
      <c r="H210" s="239"/>
      <c r="I210" s="239"/>
      <c r="J210" s="210">
        <v>0</v>
      </c>
      <c r="K210" s="209">
        <v>0</v>
      </c>
      <c r="L210" s="209">
        <v>-70348</v>
      </c>
      <c r="M210" s="209">
        <v>0</v>
      </c>
      <c r="N210" s="242">
        <v>0</v>
      </c>
      <c r="O210" s="239"/>
    </row>
    <row r="211" spans="1:15" ht="23" x14ac:dyDescent="0.35">
      <c r="A211" s="211" t="s">
        <v>551</v>
      </c>
      <c r="B211" s="211" t="s">
        <v>552</v>
      </c>
      <c r="C211" s="209">
        <v>70348</v>
      </c>
      <c r="D211" s="209">
        <v>0</v>
      </c>
      <c r="E211" s="209">
        <v>0</v>
      </c>
      <c r="F211" s="209">
        <v>70348</v>
      </c>
      <c r="G211" s="242">
        <v>-70348</v>
      </c>
      <c r="H211" s="239"/>
      <c r="I211" s="239"/>
      <c r="J211" s="210">
        <v>0</v>
      </c>
      <c r="K211" s="209">
        <v>0</v>
      </c>
      <c r="L211" s="209">
        <v>-70348</v>
      </c>
      <c r="M211" s="209">
        <v>0</v>
      </c>
      <c r="N211" s="242">
        <v>0</v>
      </c>
      <c r="O211" s="239"/>
    </row>
    <row r="212" spans="1:15" ht="23" x14ac:dyDescent="0.35">
      <c r="A212" s="211" t="s">
        <v>553</v>
      </c>
      <c r="B212" s="211" t="s">
        <v>554</v>
      </c>
      <c r="C212" s="209">
        <v>70348</v>
      </c>
      <c r="D212" s="209">
        <v>0</v>
      </c>
      <c r="E212" s="209">
        <v>0</v>
      </c>
      <c r="F212" s="209">
        <v>70348</v>
      </c>
      <c r="G212" s="242">
        <v>-70348</v>
      </c>
      <c r="H212" s="239"/>
      <c r="I212" s="239"/>
      <c r="J212" s="210">
        <v>0</v>
      </c>
      <c r="K212" s="209">
        <v>0</v>
      </c>
      <c r="L212" s="209">
        <v>-70348</v>
      </c>
      <c r="M212" s="209">
        <v>0</v>
      </c>
      <c r="N212" s="242">
        <v>0</v>
      </c>
      <c r="O212" s="239"/>
    </row>
    <row r="213" spans="1:15" ht="23" x14ac:dyDescent="0.35">
      <c r="A213" s="211" t="s">
        <v>555</v>
      </c>
      <c r="B213" s="211" t="s">
        <v>556</v>
      </c>
      <c r="C213" s="209">
        <v>70348</v>
      </c>
      <c r="D213" s="209">
        <v>0</v>
      </c>
      <c r="E213" s="209">
        <v>0</v>
      </c>
      <c r="F213" s="209">
        <v>70348</v>
      </c>
      <c r="G213" s="242">
        <v>-70348</v>
      </c>
      <c r="H213" s="239"/>
      <c r="I213" s="239"/>
      <c r="J213" s="210">
        <v>0</v>
      </c>
      <c r="K213" s="209">
        <v>0</v>
      </c>
      <c r="L213" s="209">
        <v>-70348</v>
      </c>
      <c r="M213" s="209">
        <v>0</v>
      </c>
      <c r="N213" s="242">
        <v>0</v>
      </c>
      <c r="O213" s="239"/>
    </row>
    <row r="214" spans="1:15" ht="23" x14ac:dyDescent="0.35">
      <c r="A214" s="211" t="s">
        <v>557</v>
      </c>
      <c r="B214" s="211" t="s">
        <v>558</v>
      </c>
      <c r="C214" s="209">
        <v>70348</v>
      </c>
      <c r="D214" s="209">
        <v>0</v>
      </c>
      <c r="E214" s="209">
        <v>0</v>
      </c>
      <c r="F214" s="209">
        <v>70348</v>
      </c>
      <c r="G214" s="242">
        <v>-70348</v>
      </c>
      <c r="H214" s="239"/>
      <c r="I214" s="239"/>
      <c r="J214" s="210">
        <v>0</v>
      </c>
      <c r="K214" s="209">
        <v>0</v>
      </c>
      <c r="L214" s="209">
        <v>-70348</v>
      </c>
      <c r="M214" s="209">
        <v>0</v>
      </c>
      <c r="N214" s="242">
        <v>0</v>
      </c>
      <c r="O214" s="239"/>
    </row>
    <row r="215" spans="1:15" ht="23" x14ac:dyDescent="0.35">
      <c r="A215" s="211" t="s">
        <v>559</v>
      </c>
      <c r="B215" s="211" t="s">
        <v>560</v>
      </c>
      <c r="C215" s="209">
        <v>70348</v>
      </c>
      <c r="D215" s="209">
        <v>0</v>
      </c>
      <c r="E215" s="209">
        <v>0</v>
      </c>
      <c r="F215" s="209">
        <v>70348</v>
      </c>
      <c r="G215" s="242">
        <v>-70348</v>
      </c>
      <c r="H215" s="239"/>
      <c r="I215" s="239"/>
      <c r="J215" s="210">
        <v>0</v>
      </c>
      <c r="K215" s="209">
        <v>0</v>
      </c>
      <c r="L215" s="209">
        <v>-70348</v>
      </c>
      <c r="M215" s="209">
        <v>0</v>
      </c>
      <c r="N215" s="242">
        <v>0</v>
      </c>
      <c r="O215" s="239"/>
    </row>
    <row r="216" spans="1:15" ht="23" x14ac:dyDescent="0.35">
      <c r="A216" s="211" t="s">
        <v>561</v>
      </c>
      <c r="B216" s="211" t="s">
        <v>562</v>
      </c>
      <c r="C216" s="209">
        <v>70348</v>
      </c>
      <c r="D216" s="209">
        <v>0</v>
      </c>
      <c r="E216" s="209">
        <v>0</v>
      </c>
      <c r="F216" s="209">
        <v>70348</v>
      </c>
      <c r="G216" s="242">
        <v>-70348</v>
      </c>
      <c r="H216" s="239"/>
      <c r="I216" s="239"/>
      <c r="J216" s="210">
        <v>0</v>
      </c>
      <c r="K216" s="209">
        <v>0</v>
      </c>
      <c r="L216" s="209">
        <v>-70348</v>
      </c>
      <c r="M216" s="209">
        <v>0</v>
      </c>
      <c r="N216" s="242">
        <v>0</v>
      </c>
      <c r="O216" s="239"/>
    </row>
    <row r="217" spans="1:15" ht="23" x14ac:dyDescent="0.35">
      <c r="A217" s="211" t="s">
        <v>563</v>
      </c>
      <c r="B217" s="211" t="s">
        <v>564</v>
      </c>
      <c r="C217" s="209">
        <v>70348</v>
      </c>
      <c r="D217" s="209">
        <v>0</v>
      </c>
      <c r="E217" s="209">
        <v>0</v>
      </c>
      <c r="F217" s="209">
        <v>70348</v>
      </c>
      <c r="G217" s="242">
        <v>-70348</v>
      </c>
      <c r="H217" s="239"/>
      <c r="I217" s="239"/>
      <c r="J217" s="210">
        <v>0</v>
      </c>
      <c r="K217" s="209">
        <v>0</v>
      </c>
      <c r="L217" s="209">
        <v>-70348</v>
      </c>
      <c r="M217" s="209">
        <v>0</v>
      </c>
      <c r="N217" s="242">
        <v>0</v>
      </c>
      <c r="O217" s="239"/>
    </row>
    <row r="218" spans="1:15" ht="23" x14ac:dyDescent="0.35">
      <c r="A218" s="211" t="s">
        <v>565</v>
      </c>
      <c r="B218" s="211" t="s">
        <v>566</v>
      </c>
      <c r="C218" s="209">
        <v>70348</v>
      </c>
      <c r="D218" s="209">
        <v>0</v>
      </c>
      <c r="E218" s="209">
        <v>0</v>
      </c>
      <c r="F218" s="209">
        <v>70348</v>
      </c>
      <c r="G218" s="242">
        <v>-70348</v>
      </c>
      <c r="H218" s="239"/>
      <c r="I218" s="239"/>
      <c r="J218" s="210">
        <v>0</v>
      </c>
      <c r="K218" s="209">
        <v>0</v>
      </c>
      <c r="L218" s="209">
        <v>-70348</v>
      </c>
      <c r="M218" s="209">
        <v>0</v>
      </c>
      <c r="N218" s="242">
        <v>0</v>
      </c>
      <c r="O218" s="239"/>
    </row>
    <row r="219" spans="1:15" ht="23" x14ac:dyDescent="0.35">
      <c r="A219" s="211" t="s">
        <v>567</v>
      </c>
      <c r="B219" s="211" t="s">
        <v>568</v>
      </c>
      <c r="C219" s="209">
        <v>70348</v>
      </c>
      <c r="D219" s="209">
        <v>0</v>
      </c>
      <c r="E219" s="209">
        <v>0</v>
      </c>
      <c r="F219" s="209">
        <v>70348</v>
      </c>
      <c r="G219" s="242">
        <v>-70348</v>
      </c>
      <c r="H219" s="239"/>
      <c r="I219" s="239"/>
      <c r="J219" s="210">
        <v>0</v>
      </c>
      <c r="K219" s="209">
        <v>0</v>
      </c>
      <c r="L219" s="209">
        <v>-70348</v>
      </c>
      <c r="M219" s="209">
        <v>0</v>
      </c>
      <c r="N219" s="242">
        <v>0</v>
      </c>
      <c r="O219" s="239"/>
    </row>
    <row r="220" spans="1:15" ht="23" x14ac:dyDescent="0.35">
      <c r="A220" s="211" t="s">
        <v>569</v>
      </c>
      <c r="B220" s="211" t="s">
        <v>570</v>
      </c>
      <c r="C220" s="209">
        <v>70348</v>
      </c>
      <c r="D220" s="209">
        <v>0</v>
      </c>
      <c r="E220" s="209">
        <v>0</v>
      </c>
      <c r="F220" s="209">
        <v>70348</v>
      </c>
      <c r="G220" s="242">
        <v>-70348</v>
      </c>
      <c r="H220" s="239"/>
      <c r="I220" s="239"/>
      <c r="J220" s="210">
        <v>0</v>
      </c>
      <c r="K220" s="209">
        <v>0</v>
      </c>
      <c r="L220" s="209">
        <v>-70348</v>
      </c>
      <c r="M220" s="209">
        <v>0</v>
      </c>
      <c r="N220" s="242">
        <v>0</v>
      </c>
      <c r="O220" s="239"/>
    </row>
    <row r="221" spans="1:15" ht="23" x14ac:dyDescent="0.35">
      <c r="A221" s="211" t="s">
        <v>571</v>
      </c>
      <c r="B221" s="211" t="s">
        <v>572</v>
      </c>
      <c r="C221" s="209">
        <v>70348</v>
      </c>
      <c r="D221" s="209">
        <v>0</v>
      </c>
      <c r="E221" s="209">
        <v>0</v>
      </c>
      <c r="F221" s="209">
        <v>70348</v>
      </c>
      <c r="G221" s="242">
        <v>-70348</v>
      </c>
      <c r="H221" s="239"/>
      <c r="I221" s="239"/>
      <c r="J221" s="210">
        <v>0</v>
      </c>
      <c r="K221" s="209">
        <v>0</v>
      </c>
      <c r="L221" s="209">
        <v>-70348</v>
      </c>
      <c r="M221" s="209">
        <v>0</v>
      </c>
      <c r="N221" s="242">
        <v>0</v>
      </c>
      <c r="O221" s="239"/>
    </row>
    <row r="222" spans="1:15" ht="23" x14ac:dyDescent="0.35">
      <c r="A222" s="211" t="s">
        <v>573</v>
      </c>
      <c r="B222" s="211" t="s">
        <v>574</v>
      </c>
      <c r="C222" s="209">
        <v>234743.47</v>
      </c>
      <c r="D222" s="209">
        <v>0</v>
      </c>
      <c r="E222" s="209">
        <v>0</v>
      </c>
      <c r="F222" s="209">
        <v>234743.47</v>
      </c>
      <c r="G222" s="242">
        <v>-234743.39</v>
      </c>
      <c r="H222" s="239"/>
      <c r="I222" s="239"/>
      <c r="J222" s="210">
        <v>0</v>
      </c>
      <c r="K222" s="209">
        <v>0</v>
      </c>
      <c r="L222" s="209">
        <v>-234743.39</v>
      </c>
      <c r="M222" s="209">
        <v>0.08</v>
      </c>
      <c r="N222" s="242">
        <v>0.08</v>
      </c>
      <c r="O222" s="239"/>
    </row>
    <row r="223" spans="1:15" ht="23" x14ac:dyDescent="0.35">
      <c r="A223" s="211" t="s">
        <v>575</v>
      </c>
      <c r="B223" s="211" t="s">
        <v>576</v>
      </c>
      <c r="C223" s="209">
        <v>234743.47</v>
      </c>
      <c r="D223" s="209">
        <v>0</v>
      </c>
      <c r="E223" s="209">
        <v>0</v>
      </c>
      <c r="F223" s="209">
        <v>234743.47</v>
      </c>
      <c r="G223" s="242">
        <v>-234743.39</v>
      </c>
      <c r="H223" s="239"/>
      <c r="I223" s="239"/>
      <c r="J223" s="210">
        <v>0</v>
      </c>
      <c r="K223" s="209">
        <v>0</v>
      </c>
      <c r="L223" s="209">
        <v>-234743.39</v>
      </c>
      <c r="M223" s="209">
        <v>0.08</v>
      </c>
      <c r="N223" s="242">
        <v>0.08</v>
      </c>
      <c r="O223" s="239"/>
    </row>
    <row r="224" spans="1:15" ht="23" x14ac:dyDescent="0.35">
      <c r="A224" s="211" t="s">
        <v>577</v>
      </c>
      <c r="B224" s="211" t="s">
        <v>578</v>
      </c>
      <c r="C224" s="209">
        <v>234743.47</v>
      </c>
      <c r="D224" s="209">
        <v>0</v>
      </c>
      <c r="E224" s="209">
        <v>0</v>
      </c>
      <c r="F224" s="209">
        <v>234743.47</v>
      </c>
      <c r="G224" s="242">
        <v>-234743.39</v>
      </c>
      <c r="H224" s="239"/>
      <c r="I224" s="239"/>
      <c r="J224" s="210">
        <v>0</v>
      </c>
      <c r="K224" s="209">
        <v>0</v>
      </c>
      <c r="L224" s="209">
        <v>-234743.39</v>
      </c>
      <c r="M224" s="209">
        <v>0.08</v>
      </c>
      <c r="N224" s="242">
        <v>0.08</v>
      </c>
      <c r="O224" s="239"/>
    </row>
    <row r="225" spans="1:15" ht="23" x14ac:dyDescent="0.35">
      <c r="A225" s="211" t="s">
        <v>579</v>
      </c>
      <c r="B225" s="211" t="s">
        <v>580</v>
      </c>
      <c r="C225" s="209">
        <v>234743.47</v>
      </c>
      <c r="D225" s="209">
        <v>0</v>
      </c>
      <c r="E225" s="209">
        <v>0</v>
      </c>
      <c r="F225" s="209">
        <v>234743.47</v>
      </c>
      <c r="G225" s="242">
        <v>-234743.39</v>
      </c>
      <c r="H225" s="239"/>
      <c r="I225" s="239"/>
      <c r="J225" s="210">
        <v>0</v>
      </c>
      <c r="K225" s="209">
        <v>0</v>
      </c>
      <c r="L225" s="209">
        <v>-234743.39</v>
      </c>
      <c r="M225" s="209">
        <v>0.08</v>
      </c>
      <c r="N225" s="242">
        <v>0.08</v>
      </c>
      <c r="O225" s="239"/>
    </row>
    <row r="226" spans="1:15" ht="23" x14ac:dyDescent="0.35">
      <c r="A226" s="211" t="s">
        <v>581</v>
      </c>
      <c r="B226" s="211" t="s">
        <v>582</v>
      </c>
      <c r="C226" s="209">
        <v>234743.47</v>
      </c>
      <c r="D226" s="209">
        <v>0</v>
      </c>
      <c r="E226" s="209">
        <v>0</v>
      </c>
      <c r="F226" s="209">
        <v>234743.47</v>
      </c>
      <c r="G226" s="242">
        <v>-234743.39</v>
      </c>
      <c r="H226" s="239"/>
      <c r="I226" s="239"/>
      <c r="J226" s="210">
        <v>0</v>
      </c>
      <c r="K226" s="209">
        <v>0</v>
      </c>
      <c r="L226" s="209">
        <v>-234743.39</v>
      </c>
      <c r="M226" s="209">
        <v>0.08</v>
      </c>
      <c r="N226" s="242">
        <v>0.08</v>
      </c>
      <c r="O226" s="239"/>
    </row>
    <row r="227" spans="1:15" ht="23" x14ac:dyDescent="0.35">
      <c r="A227" s="211" t="s">
        <v>583</v>
      </c>
      <c r="B227" s="211" t="s">
        <v>584</v>
      </c>
      <c r="C227" s="209">
        <v>234743.47</v>
      </c>
      <c r="D227" s="209">
        <v>0</v>
      </c>
      <c r="E227" s="209">
        <v>0</v>
      </c>
      <c r="F227" s="209">
        <v>234743.47</v>
      </c>
      <c r="G227" s="242">
        <v>-234743.47</v>
      </c>
      <c r="H227" s="239"/>
      <c r="I227" s="239"/>
      <c r="J227" s="210">
        <v>0</v>
      </c>
      <c r="K227" s="209">
        <v>0</v>
      </c>
      <c r="L227" s="209">
        <v>-234743.47</v>
      </c>
      <c r="M227" s="209">
        <v>0</v>
      </c>
      <c r="N227" s="242">
        <v>0</v>
      </c>
      <c r="O227" s="239"/>
    </row>
    <row r="228" spans="1:15" ht="23" x14ac:dyDescent="0.35">
      <c r="A228" s="211" t="s">
        <v>585</v>
      </c>
      <c r="B228" s="211" t="s">
        <v>586</v>
      </c>
      <c r="C228" s="209">
        <v>234743.47</v>
      </c>
      <c r="D228" s="209">
        <v>0</v>
      </c>
      <c r="E228" s="209">
        <v>0</v>
      </c>
      <c r="F228" s="209">
        <v>234743.47</v>
      </c>
      <c r="G228" s="242">
        <v>-234743.47</v>
      </c>
      <c r="H228" s="239"/>
      <c r="I228" s="239"/>
      <c r="J228" s="210">
        <v>0</v>
      </c>
      <c r="K228" s="209">
        <v>0</v>
      </c>
      <c r="L228" s="209">
        <v>-234743.47</v>
      </c>
      <c r="M228" s="209">
        <v>0</v>
      </c>
      <c r="N228" s="242">
        <v>0</v>
      </c>
      <c r="O228" s="239"/>
    </row>
    <row r="229" spans="1:15" ht="23" x14ac:dyDescent="0.35">
      <c r="A229" s="211" t="s">
        <v>587</v>
      </c>
      <c r="B229" s="211" t="s">
        <v>588</v>
      </c>
      <c r="C229" s="209">
        <v>234743.47</v>
      </c>
      <c r="D229" s="209">
        <v>0</v>
      </c>
      <c r="E229" s="209">
        <v>0</v>
      </c>
      <c r="F229" s="209">
        <v>234743.47</v>
      </c>
      <c r="G229" s="242">
        <v>-234743.47</v>
      </c>
      <c r="H229" s="239"/>
      <c r="I229" s="239"/>
      <c r="J229" s="210">
        <v>0</v>
      </c>
      <c r="K229" s="209">
        <v>0</v>
      </c>
      <c r="L229" s="209">
        <v>-234743.47</v>
      </c>
      <c r="M229" s="209">
        <v>0</v>
      </c>
      <c r="N229" s="242">
        <v>0</v>
      </c>
      <c r="O229" s="239"/>
    </row>
    <row r="230" spans="1:15" ht="23" x14ac:dyDescent="0.35">
      <c r="A230" s="211" t="s">
        <v>589</v>
      </c>
      <c r="B230" s="211" t="s">
        <v>590</v>
      </c>
      <c r="C230" s="209">
        <v>234743.47</v>
      </c>
      <c r="D230" s="209">
        <v>0</v>
      </c>
      <c r="E230" s="209">
        <v>0</v>
      </c>
      <c r="F230" s="209">
        <v>234743.47</v>
      </c>
      <c r="G230" s="242">
        <v>-234743.03</v>
      </c>
      <c r="H230" s="239"/>
      <c r="I230" s="239"/>
      <c r="J230" s="210">
        <v>0</v>
      </c>
      <c r="K230" s="209">
        <v>0</v>
      </c>
      <c r="L230" s="209">
        <v>-234743.03</v>
      </c>
      <c r="M230" s="209">
        <v>0.44</v>
      </c>
      <c r="N230" s="242">
        <v>0.44</v>
      </c>
      <c r="O230" s="239"/>
    </row>
    <row r="231" spans="1:15" ht="23" x14ac:dyDescent="0.35">
      <c r="A231" s="211" t="s">
        <v>591</v>
      </c>
      <c r="B231" s="211" t="s">
        <v>592</v>
      </c>
      <c r="C231" s="209">
        <v>234743.47</v>
      </c>
      <c r="D231" s="209">
        <v>0</v>
      </c>
      <c r="E231" s="209">
        <v>0</v>
      </c>
      <c r="F231" s="209">
        <v>234743.47</v>
      </c>
      <c r="G231" s="242">
        <v>-234743.03</v>
      </c>
      <c r="H231" s="239"/>
      <c r="I231" s="239"/>
      <c r="J231" s="210">
        <v>0</v>
      </c>
      <c r="K231" s="209">
        <v>0</v>
      </c>
      <c r="L231" s="209">
        <v>-234743.03</v>
      </c>
      <c r="M231" s="209">
        <v>0.44</v>
      </c>
      <c r="N231" s="242">
        <v>0.44</v>
      </c>
      <c r="O231" s="239"/>
    </row>
    <row r="232" spans="1:15" ht="23" x14ac:dyDescent="0.35">
      <c r="A232" s="211" t="s">
        <v>593</v>
      </c>
      <c r="B232" s="211" t="s">
        <v>594</v>
      </c>
      <c r="C232" s="209">
        <v>234743.47</v>
      </c>
      <c r="D232" s="209">
        <v>0</v>
      </c>
      <c r="E232" s="209">
        <v>0</v>
      </c>
      <c r="F232" s="209">
        <v>234743.47</v>
      </c>
      <c r="G232" s="242">
        <v>-234743.03</v>
      </c>
      <c r="H232" s="239"/>
      <c r="I232" s="239"/>
      <c r="J232" s="210">
        <v>0</v>
      </c>
      <c r="K232" s="209">
        <v>0</v>
      </c>
      <c r="L232" s="209">
        <v>-234743.03</v>
      </c>
      <c r="M232" s="209">
        <v>0.44</v>
      </c>
      <c r="N232" s="242">
        <v>0.44</v>
      </c>
      <c r="O232" s="239"/>
    </row>
    <row r="233" spans="1:15" ht="23" x14ac:dyDescent="0.35">
      <c r="A233" s="211" t="s">
        <v>595</v>
      </c>
      <c r="B233" s="211" t="s">
        <v>596</v>
      </c>
      <c r="C233" s="209">
        <v>234743.47</v>
      </c>
      <c r="D233" s="209">
        <v>0</v>
      </c>
      <c r="E233" s="209">
        <v>0</v>
      </c>
      <c r="F233" s="209">
        <v>234743.47</v>
      </c>
      <c r="G233" s="242">
        <v>-234743.03</v>
      </c>
      <c r="H233" s="239"/>
      <c r="I233" s="239"/>
      <c r="J233" s="210">
        <v>0</v>
      </c>
      <c r="K233" s="209">
        <v>0</v>
      </c>
      <c r="L233" s="209">
        <v>-234743.03</v>
      </c>
      <c r="M233" s="209">
        <v>0.44</v>
      </c>
      <c r="N233" s="242">
        <v>0.44</v>
      </c>
      <c r="O233" s="239"/>
    </row>
    <row r="234" spans="1:15" ht="23" x14ac:dyDescent="0.35">
      <c r="A234" s="211" t="s">
        <v>597</v>
      </c>
      <c r="B234" s="211" t="s">
        <v>598</v>
      </c>
      <c r="C234" s="209">
        <v>234743.47</v>
      </c>
      <c r="D234" s="209">
        <v>0</v>
      </c>
      <c r="E234" s="209">
        <v>0</v>
      </c>
      <c r="F234" s="209">
        <v>234743.47</v>
      </c>
      <c r="G234" s="242">
        <v>-234743.03</v>
      </c>
      <c r="H234" s="239"/>
      <c r="I234" s="239"/>
      <c r="J234" s="210">
        <v>0</v>
      </c>
      <c r="K234" s="209">
        <v>0</v>
      </c>
      <c r="L234" s="209">
        <v>-234743.03</v>
      </c>
      <c r="M234" s="209">
        <v>0.44</v>
      </c>
      <c r="N234" s="242">
        <v>0.44</v>
      </c>
      <c r="O234" s="239"/>
    </row>
    <row r="235" spans="1:15" ht="23" x14ac:dyDescent="0.35">
      <c r="A235" s="211" t="s">
        <v>599</v>
      </c>
      <c r="B235" s="211" t="s">
        <v>600</v>
      </c>
      <c r="C235" s="209">
        <v>234743.47</v>
      </c>
      <c r="D235" s="209">
        <v>0</v>
      </c>
      <c r="E235" s="209">
        <v>0</v>
      </c>
      <c r="F235" s="209">
        <v>234743.47</v>
      </c>
      <c r="G235" s="242">
        <v>-234743.03</v>
      </c>
      <c r="H235" s="239"/>
      <c r="I235" s="239"/>
      <c r="J235" s="210">
        <v>0</v>
      </c>
      <c r="K235" s="209">
        <v>0</v>
      </c>
      <c r="L235" s="209">
        <v>-234743.03</v>
      </c>
      <c r="M235" s="209">
        <v>0.44</v>
      </c>
      <c r="N235" s="242">
        <v>0.44</v>
      </c>
      <c r="O235" s="239"/>
    </row>
    <row r="236" spans="1:15" ht="23" x14ac:dyDescent="0.35">
      <c r="A236" s="211" t="s">
        <v>601</v>
      </c>
      <c r="B236" s="211" t="s">
        <v>602</v>
      </c>
      <c r="C236" s="209">
        <v>234743.47</v>
      </c>
      <c r="D236" s="209">
        <v>0</v>
      </c>
      <c r="E236" s="209">
        <v>0</v>
      </c>
      <c r="F236" s="209">
        <v>234743.47</v>
      </c>
      <c r="G236" s="242">
        <v>-234743.03</v>
      </c>
      <c r="H236" s="239"/>
      <c r="I236" s="239"/>
      <c r="J236" s="210">
        <v>0</v>
      </c>
      <c r="K236" s="209">
        <v>0</v>
      </c>
      <c r="L236" s="209">
        <v>-234743.03</v>
      </c>
      <c r="M236" s="209">
        <v>0.44</v>
      </c>
      <c r="N236" s="242">
        <v>0.44</v>
      </c>
      <c r="O236" s="239"/>
    </row>
    <row r="237" spans="1:15" ht="23" x14ac:dyDescent="0.35">
      <c r="A237" s="211" t="s">
        <v>603</v>
      </c>
      <c r="B237" s="211" t="s">
        <v>604</v>
      </c>
      <c r="C237" s="209">
        <v>234743.47</v>
      </c>
      <c r="D237" s="209">
        <v>0</v>
      </c>
      <c r="E237" s="209">
        <v>0</v>
      </c>
      <c r="F237" s="209">
        <v>234743.47</v>
      </c>
      <c r="G237" s="242">
        <v>-234743.03</v>
      </c>
      <c r="H237" s="239"/>
      <c r="I237" s="239"/>
      <c r="J237" s="210">
        <v>0</v>
      </c>
      <c r="K237" s="209">
        <v>0</v>
      </c>
      <c r="L237" s="209">
        <v>-234743.03</v>
      </c>
      <c r="M237" s="209">
        <v>0.44</v>
      </c>
      <c r="N237" s="242">
        <v>0.44</v>
      </c>
      <c r="O237" s="239"/>
    </row>
    <row r="238" spans="1:15" ht="23" x14ac:dyDescent="0.35">
      <c r="A238" s="211" t="s">
        <v>605</v>
      </c>
      <c r="B238" s="211" t="s">
        <v>606</v>
      </c>
      <c r="C238" s="209">
        <v>234743.47</v>
      </c>
      <c r="D238" s="209">
        <v>0</v>
      </c>
      <c r="E238" s="209">
        <v>0</v>
      </c>
      <c r="F238" s="209">
        <v>234743.47</v>
      </c>
      <c r="G238" s="242">
        <v>-234743.03</v>
      </c>
      <c r="H238" s="239"/>
      <c r="I238" s="239"/>
      <c r="J238" s="210">
        <v>0</v>
      </c>
      <c r="K238" s="209">
        <v>0</v>
      </c>
      <c r="L238" s="209">
        <v>-234743.03</v>
      </c>
      <c r="M238" s="209">
        <v>0.44</v>
      </c>
      <c r="N238" s="242">
        <v>0.44</v>
      </c>
      <c r="O238" s="239"/>
    </row>
    <row r="239" spans="1:15" ht="23" x14ac:dyDescent="0.35">
      <c r="A239" s="211" t="s">
        <v>607</v>
      </c>
      <c r="B239" s="211" t="s">
        <v>608</v>
      </c>
      <c r="C239" s="209">
        <v>234743.47</v>
      </c>
      <c r="D239" s="209">
        <v>0</v>
      </c>
      <c r="E239" s="209">
        <v>0</v>
      </c>
      <c r="F239" s="209">
        <v>234743.47</v>
      </c>
      <c r="G239" s="242">
        <v>-234743.03</v>
      </c>
      <c r="H239" s="239"/>
      <c r="I239" s="239"/>
      <c r="J239" s="210">
        <v>0</v>
      </c>
      <c r="K239" s="209">
        <v>0</v>
      </c>
      <c r="L239" s="209">
        <v>-234743.03</v>
      </c>
      <c r="M239" s="209">
        <v>0.44</v>
      </c>
      <c r="N239" s="242">
        <v>0.44</v>
      </c>
      <c r="O239" s="239"/>
    </row>
    <row r="240" spans="1:15" ht="23" x14ac:dyDescent="0.35">
      <c r="A240" s="211" t="s">
        <v>609</v>
      </c>
      <c r="B240" s="211" t="s">
        <v>610</v>
      </c>
      <c r="C240" s="209">
        <v>234743.47</v>
      </c>
      <c r="D240" s="209">
        <v>0</v>
      </c>
      <c r="E240" s="209">
        <v>0</v>
      </c>
      <c r="F240" s="209">
        <v>234743.47</v>
      </c>
      <c r="G240" s="242">
        <v>-234743.03</v>
      </c>
      <c r="H240" s="239"/>
      <c r="I240" s="239"/>
      <c r="J240" s="210">
        <v>0</v>
      </c>
      <c r="K240" s="209">
        <v>0</v>
      </c>
      <c r="L240" s="209">
        <v>-234743.03</v>
      </c>
      <c r="M240" s="209">
        <v>0.44</v>
      </c>
      <c r="N240" s="242">
        <v>0.44</v>
      </c>
      <c r="O240" s="239"/>
    </row>
    <row r="241" spans="1:15" x14ac:dyDescent="0.35">
      <c r="A241" s="211" t="s">
        <v>611</v>
      </c>
      <c r="B241" s="211" t="s">
        <v>612</v>
      </c>
      <c r="C241" s="209">
        <v>0</v>
      </c>
      <c r="D241" s="209">
        <v>0</v>
      </c>
      <c r="E241" s="209">
        <v>0</v>
      </c>
      <c r="F241" s="209">
        <v>0</v>
      </c>
      <c r="G241" s="242">
        <v>0</v>
      </c>
      <c r="H241" s="239"/>
      <c r="I241" s="239"/>
      <c r="J241" s="210">
        <v>0</v>
      </c>
      <c r="K241" s="209">
        <v>0</v>
      </c>
      <c r="L241" s="209">
        <v>0</v>
      </c>
      <c r="M241" s="209">
        <v>0</v>
      </c>
      <c r="N241" s="242">
        <v>0</v>
      </c>
      <c r="O241" s="239"/>
    </row>
    <row r="242" spans="1:15" ht="23" x14ac:dyDescent="0.35">
      <c r="A242" s="211" t="s">
        <v>613</v>
      </c>
      <c r="B242" s="211" t="s">
        <v>614</v>
      </c>
      <c r="C242" s="209">
        <v>0</v>
      </c>
      <c r="D242" s="209">
        <v>0</v>
      </c>
      <c r="E242" s="209">
        <v>0</v>
      </c>
      <c r="F242" s="209">
        <v>0</v>
      </c>
      <c r="G242" s="242">
        <v>0</v>
      </c>
      <c r="H242" s="239"/>
      <c r="I242" s="239"/>
      <c r="J242" s="210">
        <v>0</v>
      </c>
      <c r="K242" s="209">
        <v>0</v>
      </c>
      <c r="L242" s="209">
        <v>0</v>
      </c>
      <c r="M242" s="209">
        <v>0</v>
      </c>
      <c r="N242" s="242">
        <v>0</v>
      </c>
      <c r="O242" s="239"/>
    </row>
    <row r="243" spans="1:15" ht="23" x14ac:dyDescent="0.35">
      <c r="A243" s="211" t="s">
        <v>615</v>
      </c>
      <c r="B243" s="211" t="s">
        <v>616</v>
      </c>
      <c r="C243" s="209">
        <v>0</v>
      </c>
      <c r="D243" s="209">
        <v>0</v>
      </c>
      <c r="E243" s="209">
        <v>0</v>
      </c>
      <c r="F243" s="209">
        <v>0</v>
      </c>
      <c r="G243" s="242">
        <v>0</v>
      </c>
      <c r="H243" s="239"/>
      <c r="I243" s="239"/>
      <c r="J243" s="210">
        <v>0</v>
      </c>
      <c r="K243" s="209">
        <v>0</v>
      </c>
      <c r="L243" s="209">
        <v>0</v>
      </c>
      <c r="M243" s="209">
        <v>0</v>
      </c>
      <c r="N243" s="242">
        <v>0</v>
      </c>
      <c r="O243" s="239"/>
    </row>
    <row r="244" spans="1:15" x14ac:dyDescent="0.35">
      <c r="A244" s="211" t="s">
        <v>617</v>
      </c>
      <c r="B244" s="211" t="s">
        <v>618</v>
      </c>
      <c r="C244" s="209">
        <v>0</v>
      </c>
      <c r="D244" s="209">
        <v>0</v>
      </c>
      <c r="E244" s="209">
        <v>0</v>
      </c>
      <c r="F244" s="209">
        <v>0</v>
      </c>
      <c r="G244" s="242">
        <v>0</v>
      </c>
      <c r="H244" s="239"/>
      <c r="I244" s="239"/>
      <c r="J244" s="210">
        <v>0</v>
      </c>
      <c r="K244" s="209">
        <v>0</v>
      </c>
      <c r="L244" s="209">
        <v>0</v>
      </c>
      <c r="M244" s="209">
        <v>0</v>
      </c>
      <c r="N244" s="242">
        <v>0</v>
      </c>
      <c r="O244" s="239"/>
    </row>
    <row r="245" spans="1:15" x14ac:dyDescent="0.35">
      <c r="A245" s="211" t="s">
        <v>619</v>
      </c>
      <c r="B245" s="211" t="s">
        <v>620</v>
      </c>
      <c r="C245" s="209">
        <v>0</v>
      </c>
      <c r="D245" s="209">
        <v>0</v>
      </c>
      <c r="E245" s="209">
        <v>0</v>
      </c>
      <c r="F245" s="209">
        <v>0</v>
      </c>
      <c r="G245" s="242">
        <v>0</v>
      </c>
      <c r="H245" s="239"/>
      <c r="I245" s="239"/>
      <c r="J245" s="210">
        <v>0</v>
      </c>
      <c r="K245" s="209">
        <v>0</v>
      </c>
      <c r="L245" s="209">
        <v>0</v>
      </c>
      <c r="M245" s="209">
        <v>0</v>
      </c>
      <c r="N245" s="242">
        <v>0</v>
      </c>
      <c r="O245" s="239"/>
    </row>
    <row r="246" spans="1:15" ht="23" x14ac:dyDescent="0.35">
      <c r="A246" s="211" t="s">
        <v>621</v>
      </c>
      <c r="B246" s="211" t="s">
        <v>622</v>
      </c>
      <c r="C246" s="209">
        <v>0</v>
      </c>
      <c r="D246" s="209">
        <v>0</v>
      </c>
      <c r="E246" s="209">
        <v>0</v>
      </c>
      <c r="F246" s="209">
        <v>0</v>
      </c>
      <c r="G246" s="242">
        <v>0</v>
      </c>
      <c r="H246" s="239"/>
      <c r="I246" s="239"/>
      <c r="J246" s="210">
        <v>0</v>
      </c>
      <c r="K246" s="209">
        <v>0</v>
      </c>
      <c r="L246" s="209">
        <v>0</v>
      </c>
      <c r="M246" s="209">
        <v>0</v>
      </c>
      <c r="N246" s="242">
        <v>0</v>
      </c>
      <c r="O246" s="239"/>
    </row>
    <row r="247" spans="1:15" ht="23" x14ac:dyDescent="0.35">
      <c r="A247" s="211" t="s">
        <v>623</v>
      </c>
      <c r="B247" s="211" t="s">
        <v>624</v>
      </c>
      <c r="C247" s="209">
        <v>1705450.57</v>
      </c>
      <c r="D247" s="209">
        <v>0</v>
      </c>
      <c r="E247" s="209">
        <v>0</v>
      </c>
      <c r="F247" s="209">
        <v>1705450.57</v>
      </c>
      <c r="G247" s="242">
        <v>-1705450.57</v>
      </c>
      <c r="H247" s="239"/>
      <c r="I247" s="239"/>
      <c r="J247" s="210">
        <v>0</v>
      </c>
      <c r="K247" s="209">
        <v>0</v>
      </c>
      <c r="L247" s="209">
        <v>-1705450.57</v>
      </c>
      <c r="M247" s="209">
        <v>0</v>
      </c>
      <c r="N247" s="242">
        <v>0</v>
      </c>
      <c r="O247" s="239"/>
    </row>
    <row r="248" spans="1:15" ht="23" x14ac:dyDescent="0.35">
      <c r="A248" s="211" t="s">
        <v>625</v>
      </c>
      <c r="B248" s="211" t="s">
        <v>626</v>
      </c>
      <c r="C248" s="209">
        <v>1777872.46</v>
      </c>
      <c r="D248" s="209">
        <v>0</v>
      </c>
      <c r="E248" s="209">
        <v>0</v>
      </c>
      <c r="F248" s="209">
        <v>1777872.46</v>
      </c>
      <c r="G248" s="242">
        <v>-1777872.46</v>
      </c>
      <c r="H248" s="239"/>
      <c r="I248" s="239"/>
      <c r="J248" s="210">
        <v>0</v>
      </c>
      <c r="K248" s="209">
        <v>0</v>
      </c>
      <c r="L248" s="209">
        <v>-1777872.46</v>
      </c>
      <c r="M248" s="209">
        <v>0</v>
      </c>
      <c r="N248" s="242">
        <v>0</v>
      </c>
      <c r="O248" s="239"/>
    </row>
    <row r="249" spans="1:15" ht="23" x14ac:dyDescent="0.35">
      <c r="A249" s="211" t="s">
        <v>627</v>
      </c>
      <c r="B249" s="211" t="s">
        <v>628</v>
      </c>
      <c r="C249" s="209">
        <v>0</v>
      </c>
      <c r="D249" s="209">
        <v>0</v>
      </c>
      <c r="E249" s="209">
        <v>0</v>
      </c>
      <c r="F249" s="209">
        <v>0</v>
      </c>
      <c r="G249" s="242">
        <v>0</v>
      </c>
      <c r="H249" s="239"/>
      <c r="I249" s="239"/>
      <c r="J249" s="210">
        <v>0</v>
      </c>
      <c r="K249" s="209">
        <v>0</v>
      </c>
      <c r="L249" s="209">
        <v>0</v>
      </c>
      <c r="M249" s="209">
        <v>0</v>
      </c>
      <c r="N249" s="242">
        <v>0</v>
      </c>
      <c r="O249" s="239"/>
    </row>
    <row r="250" spans="1:15" ht="23" x14ac:dyDescent="0.35">
      <c r="A250" s="211" t="s">
        <v>629</v>
      </c>
      <c r="B250" s="211" t="s">
        <v>630</v>
      </c>
      <c r="C250" s="209">
        <v>7411968.5499999998</v>
      </c>
      <c r="D250" s="209">
        <v>0</v>
      </c>
      <c r="E250" s="209">
        <v>0</v>
      </c>
      <c r="F250" s="209">
        <v>7411968.5499999998</v>
      </c>
      <c r="G250" s="242">
        <v>-7411968.5499999998</v>
      </c>
      <c r="H250" s="239"/>
      <c r="I250" s="239"/>
      <c r="J250" s="210">
        <v>0</v>
      </c>
      <c r="K250" s="209">
        <v>0</v>
      </c>
      <c r="L250" s="209">
        <v>-7411968.5499999998</v>
      </c>
      <c r="M250" s="209">
        <v>0</v>
      </c>
      <c r="N250" s="242">
        <v>0</v>
      </c>
      <c r="O250" s="239"/>
    </row>
    <row r="251" spans="1:15" ht="23" x14ac:dyDescent="0.35">
      <c r="A251" s="211" t="s">
        <v>631</v>
      </c>
      <c r="B251" s="211" t="s">
        <v>632</v>
      </c>
      <c r="C251" s="209">
        <v>339431</v>
      </c>
      <c r="D251" s="209">
        <v>0</v>
      </c>
      <c r="E251" s="209">
        <v>0</v>
      </c>
      <c r="F251" s="209">
        <v>339431</v>
      </c>
      <c r="G251" s="242">
        <v>-339431</v>
      </c>
      <c r="H251" s="239"/>
      <c r="I251" s="239"/>
      <c r="J251" s="210">
        <v>0</v>
      </c>
      <c r="K251" s="209">
        <v>0</v>
      </c>
      <c r="L251" s="209">
        <v>-339431</v>
      </c>
      <c r="M251" s="209">
        <v>0</v>
      </c>
      <c r="N251" s="242">
        <v>0</v>
      </c>
      <c r="O251" s="239"/>
    </row>
    <row r="252" spans="1:15" ht="23" x14ac:dyDescent="0.35">
      <c r="A252" s="211" t="s">
        <v>633</v>
      </c>
      <c r="B252" s="211" t="s">
        <v>634</v>
      </c>
      <c r="C252" s="209">
        <v>186143</v>
      </c>
      <c r="D252" s="209">
        <v>0</v>
      </c>
      <c r="E252" s="209">
        <v>0</v>
      </c>
      <c r="F252" s="209">
        <v>186143</v>
      </c>
      <c r="G252" s="242">
        <v>-186143</v>
      </c>
      <c r="H252" s="239"/>
      <c r="I252" s="239"/>
      <c r="J252" s="210">
        <v>0</v>
      </c>
      <c r="K252" s="209">
        <v>0</v>
      </c>
      <c r="L252" s="209">
        <v>-186143</v>
      </c>
      <c r="M252" s="209">
        <v>0</v>
      </c>
      <c r="N252" s="242">
        <v>0</v>
      </c>
      <c r="O252" s="239"/>
    </row>
    <row r="253" spans="1:15" ht="23" x14ac:dyDescent="0.35">
      <c r="A253" s="211" t="s">
        <v>635</v>
      </c>
      <c r="B253" s="211" t="s">
        <v>636</v>
      </c>
      <c r="C253" s="209">
        <v>4520326</v>
      </c>
      <c r="D253" s="209">
        <v>0</v>
      </c>
      <c r="E253" s="209">
        <v>0</v>
      </c>
      <c r="F253" s="209">
        <v>4520326</v>
      </c>
      <c r="G253" s="242">
        <v>-4520326</v>
      </c>
      <c r="H253" s="239"/>
      <c r="I253" s="239"/>
      <c r="J253" s="210">
        <v>0</v>
      </c>
      <c r="K253" s="209">
        <v>0</v>
      </c>
      <c r="L253" s="209">
        <v>-4520326</v>
      </c>
      <c r="M253" s="209">
        <v>0</v>
      </c>
      <c r="N253" s="242">
        <v>0</v>
      </c>
      <c r="O253" s="239"/>
    </row>
    <row r="254" spans="1:15" ht="23" x14ac:dyDescent="0.35">
      <c r="A254" s="211" t="s">
        <v>637</v>
      </c>
      <c r="B254" s="211" t="s">
        <v>638</v>
      </c>
      <c r="C254" s="209">
        <v>0</v>
      </c>
      <c r="D254" s="209">
        <v>0</v>
      </c>
      <c r="E254" s="209">
        <v>0</v>
      </c>
      <c r="F254" s="209">
        <v>0</v>
      </c>
      <c r="G254" s="242">
        <v>0</v>
      </c>
      <c r="H254" s="239"/>
      <c r="I254" s="239"/>
      <c r="J254" s="210">
        <v>0</v>
      </c>
      <c r="K254" s="209">
        <v>0</v>
      </c>
      <c r="L254" s="209">
        <v>0</v>
      </c>
      <c r="M254" s="209">
        <v>0</v>
      </c>
      <c r="N254" s="242">
        <v>0</v>
      </c>
      <c r="O254" s="239"/>
    </row>
    <row r="255" spans="1:15" ht="23" x14ac:dyDescent="0.35">
      <c r="A255" s="211" t="s">
        <v>639</v>
      </c>
      <c r="B255" s="211" t="s">
        <v>640</v>
      </c>
      <c r="C255" s="209">
        <v>0</v>
      </c>
      <c r="D255" s="209">
        <v>0</v>
      </c>
      <c r="E255" s="209">
        <v>0</v>
      </c>
      <c r="F255" s="209">
        <v>0</v>
      </c>
      <c r="G255" s="242">
        <v>0</v>
      </c>
      <c r="H255" s="239"/>
      <c r="I255" s="239"/>
      <c r="J255" s="210">
        <v>0</v>
      </c>
      <c r="K255" s="209">
        <v>0</v>
      </c>
      <c r="L255" s="209">
        <v>0</v>
      </c>
      <c r="M255" s="209">
        <v>0</v>
      </c>
      <c r="N255" s="242">
        <v>0</v>
      </c>
      <c r="O255" s="239"/>
    </row>
    <row r="256" spans="1:15" ht="23" x14ac:dyDescent="0.35">
      <c r="A256" s="211" t="s">
        <v>641</v>
      </c>
      <c r="B256" s="211" t="s">
        <v>642</v>
      </c>
      <c r="C256" s="209">
        <v>0</v>
      </c>
      <c r="D256" s="209">
        <v>0</v>
      </c>
      <c r="E256" s="209">
        <v>0</v>
      </c>
      <c r="F256" s="209">
        <v>0</v>
      </c>
      <c r="G256" s="242">
        <v>0</v>
      </c>
      <c r="H256" s="239"/>
      <c r="I256" s="239"/>
      <c r="J256" s="210">
        <v>0</v>
      </c>
      <c r="K256" s="209">
        <v>0</v>
      </c>
      <c r="L256" s="209">
        <v>0</v>
      </c>
      <c r="M256" s="209">
        <v>0</v>
      </c>
      <c r="N256" s="242">
        <v>0</v>
      </c>
      <c r="O256" s="239"/>
    </row>
    <row r="257" spans="1:15" ht="23" x14ac:dyDescent="0.35">
      <c r="A257" s="211" t="s">
        <v>643</v>
      </c>
      <c r="B257" s="211" t="s">
        <v>644</v>
      </c>
      <c r="C257" s="209">
        <v>0</v>
      </c>
      <c r="D257" s="209">
        <v>0</v>
      </c>
      <c r="E257" s="209">
        <v>0</v>
      </c>
      <c r="F257" s="209">
        <v>0</v>
      </c>
      <c r="G257" s="242">
        <v>0</v>
      </c>
      <c r="H257" s="239"/>
      <c r="I257" s="239"/>
      <c r="J257" s="210">
        <v>0</v>
      </c>
      <c r="K257" s="209">
        <v>0</v>
      </c>
      <c r="L257" s="209">
        <v>0</v>
      </c>
      <c r="M257" s="209">
        <v>0</v>
      </c>
      <c r="N257" s="242">
        <v>0</v>
      </c>
      <c r="O257" s="239"/>
    </row>
    <row r="258" spans="1:15" ht="23" x14ac:dyDescent="0.35">
      <c r="A258" s="211" t="s">
        <v>645</v>
      </c>
      <c r="B258" s="211" t="s">
        <v>646</v>
      </c>
      <c r="C258" s="209">
        <v>0</v>
      </c>
      <c r="D258" s="209">
        <v>0</v>
      </c>
      <c r="E258" s="209">
        <v>0</v>
      </c>
      <c r="F258" s="209">
        <v>0</v>
      </c>
      <c r="G258" s="242">
        <v>0</v>
      </c>
      <c r="H258" s="239"/>
      <c r="I258" s="239"/>
      <c r="J258" s="210">
        <v>0</v>
      </c>
      <c r="K258" s="209">
        <v>0</v>
      </c>
      <c r="L258" s="209">
        <v>0</v>
      </c>
      <c r="M258" s="209">
        <v>0</v>
      </c>
      <c r="N258" s="242">
        <v>0</v>
      </c>
      <c r="O258" s="239"/>
    </row>
    <row r="259" spans="1:15" ht="23" x14ac:dyDescent="0.35">
      <c r="A259" s="211" t="s">
        <v>647</v>
      </c>
      <c r="B259" s="211" t="s">
        <v>648</v>
      </c>
      <c r="C259" s="209">
        <v>0</v>
      </c>
      <c r="D259" s="209">
        <v>0</v>
      </c>
      <c r="E259" s="209">
        <v>0</v>
      </c>
      <c r="F259" s="209">
        <v>0</v>
      </c>
      <c r="G259" s="242">
        <v>0</v>
      </c>
      <c r="H259" s="239"/>
      <c r="I259" s="239"/>
      <c r="J259" s="210">
        <v>0</v>
      </c>
      <c r="K259" s="209">
        <v>0</v>
      </c>
      <c r="L259" s="209">
        <v>0</v>
      </c>
      <c r="M259" s="209">
        <v>0</v>
      </c>
      <c r="N259" s="242">
        <v>0</v>
      </c>
      <c r="O259" s="239"/>
    </row>
    <row r="260" spans="1:15" ht="23" x14ac:dyDescent="0.35">
      <c r="A260" s="211" t="s">
        <v>649</v>
      </c>
      <c r="B260" s="211" t="s">
        <v>650</v>
      </c>
      <c r="C260" s="209">
        <v>0</v>
      </c>
      <c r="D260" s="209">
        <v>0</v>
      </c>
      <c r="E260" s="209">
        <v>0</v>
      </c>
      <c r="F260" s="209">
        <v>0</v>
      </c>
      <c r="G260" s="242">
        <v>0</v>
      </c>
      <c r="H260" s="239"/>
      <c r="I260" s="239"/>
      <c r="J260" s="210">
        <v>0</v>
      </c>
      <c r="K260" s="209">
        <v>0</v>
      </c>
      <c r="L260" s="209">
        <v>0</v>
      </c>
      <c r="M260" s="209">
        <v>0</v>
      </c>
      <c r="N260" s="242">
        <v>0</v>
      </c>
      <c r="O260" s="239"/>
    </row>
    <row r="261" spans="1:15" ht="23" x14ac:dyDescent="0.35">
      <c r="A261" s="211" t="s">
        <v>651</v>
      </c>
      <c r="B261" s="211" t="s">
        <v>652</v>
      </c>
      <c r="C261" s="209">
        <v>0</v>
      </c>
      <c r="D261" s="209">
        <v>0</v>
      </c>
      <c r="E261" s="209">
        <v>0</v>
      </c>
      <c r="F261" s="209">
        <v>0</v>
      </c>
      <c r="G261" s="242">
        <v>0</v>
      </c>
      <c r="H261" s="239"/>
      <c r="I261" s="239"/>
      <c r="J261" s="210">
        <v>0</v>
      </c>
      <c r="K261" s="209">
        <v>0</v>
      </c>
      <c r="L261" s="209">
        <v>0</v>
      </c>
      <c r="M261" s="209">
        <v>0</v>
      </c>
      <c r="N261" s="242">
        <v>0</v>
      </c>
      <c r="O261" s="239"/>
    </row>
    <row r="262" spans="1:15" ht="23" x14ac:dyDescent="0.35">
      <c r="A262" s="211" t="s">
        <v>653</v>
      </c>
      <c r="B262" s="211" t="s">
        <v>654</v>
      </c>
      <c r="C262" s="209">
        <v>0</v>
      </c>
      <c r="D262" s="209">
        <v>0</v>
      </c>
      <c r="E262" s="209">
        <v>0</v>
      </c>
      <c r="F262" s="209">
        <v>0</v>
      </c>
      <c r="G262" s="242">
        <v>0</v>
      </c>
      <c r="H262" s="239"/>
      <c r="I262" s="239"/>
      <c r="J262" s="210">
        <v>0</v>
      </c>
      <c r="K262" s="209">
        <v>0</v>
      </c>
      <c r="L262" s="209">
        <v>0</v>
      </c>
      <c r="M262" s="209">
        <v>0</v>
      </c>
      <c r="N262" s="242">
        <v>0</v>
      </c>
      <c r="O262" s="239"/>
    </row>
    <row r="263" spans="1:15" ht="23" x14ac:dyDescent="0.35">
      <c r="A263" s="211" t="s">
        <v>655</v>
      </c>
      <c r="B263" s="211" t="s">
        <v>656</v>
      </c>
      <c r="C263" s="209">
        <v>0</v>
      </c>
      <c r="D263" s="209">
        <v>0</v>
      </c>
      <c r="E263" s="209">
        <v>0</v>
      </c>
      <c r="F263" s="209">
        <v>0</v>
      </c>
      <c r="G263" s="242">
        <v>0</v>
      </c>
      <c r="H263" s="239"/>
      <c r="I263" s="239"/>
      <c r="J263" s="210">
        <v>0</v>
      </c>
      <c r="K263" s="209">
        <v>0</v>
      </c>
      <c r="L263" s="209">
        <v>0</v>
      </c>
      <c r="M263" s="209">
        <v>0</v>
      </c>
      <c r="N263" s="242">
        <v>0</v>
      </c>
      <c r="O263" s="239"/>
    </row>
    <row r="264" spans="1:15" ht="23" x14ac:dyDescent="0.35">
      <c r="A264" s="211" t="s">
        <v>657</v>
      </c>
      <c r="B264" s="211" t="s">
        <v>658</v>
      </c>
      <c r="C264" s="209">
        <v>0</v>
      </c>
      <c r="D264" s="209">
        <v>0</v>
      </c>
      <c r="E264" s="209">
        <v>0</v>
      </c>
      <c r="F264" s="209">
        <v>0</v>
      </c>
      <c r="G264" s="242">
        <v>0</v>
      </c>
      <c r="H264" s="239"/>
      <c r="I264" s="239"/>
      <c r="J264" s="210">
        <v>0</v>
      </c>
      <c r="K264" s="209">
        <v>0</v>
      </c>
      <c r="L264" s="209">
        <v>0</v>
      </c>
      <c r="M264" s="209">
        <v>0</v>
      </c>
      <c r="N264" s="242">
        <v>0</v>
      </c>
      <c r="O264" s="239"/>
    </row>
    <row r="265" spans="1:15" ht="23" x14ac:dyDescent="0.35">
      <c r="A265" s="211" t="s">
        <v>659</v>
      </c>
      <c r="B265" s="211" t="s">
        <v>660</v>
      </c>
      <c r="C265" s="209">
        <v>0</v>
      </c>
      <c r="D265" s="209">
        <v>0</v>
      </c>
      <c r="E265" s="209">
        <v>0</v>
      </c>
      <c r="F265" s="209">
        <v>0</v>
      </c>
      <c r="G265" s="242">
        <v>0</v>
      </c>
      <c r="H265" s="239"/>
      <c r="I265" s="239"/>
      <c r="J265" s="210">
        <v>0</v>
      </c>
      <c r="K265" s="209">
        <v>0</v>
      </c>
      <c r="L265" s="209">
        <v>0</v>
      </c>
      <c r="M265" s="209">
        <v>0</v>
      </c>
      <c r="N265" s="242">
        <v>0</v>
      </c>
      <c r="O265" s="239"/>
    </row>
    <row r="266" spans="1:15" ht="23" x14ac:dyDescent="0.35">
      <c r="A266" s="211" t="s">
        <v>661</v>
      </c>
      <c r="B266" s="211" t="s">
        <v>662</v>
      </c>
      <c r="C266" s="209">
        <v>0</v>
      </c>
      <c r="D266" s="209">
        <v>0</v>
      </c>
      <c r="E266" s="209">
        <v>0</v>
      </c>
      <c r="F266" s="209">
        <v>0</v>
      </c>
      <c r="G266" s="242">
        <v>0</v>
      </c>
      <c r="H266" s="239"/>
      <c r="I266" s="239"/>
      <c r="J266" s="210">
        <v>0</v>
      </c>
      <c r="K266" s="209">
        <v>0</v>
      </c>
      <c r="L266" s="209">
        <v>0</v>
      </c>
      <c r="M266" s="209">
        <v>0</v>
      </c>
      <c r="N266" s="242">
        <v>0</v>
      </c>
      <c r="O266" s="239"/>
    </row>
    <row r="267" spans="1:15" ht="23" x14ac:dyDescent="0.35">
      <c r="A267" s="211" t="s">
        <v>663</v>
      </c>
      <c r="B267" s="211" t="s">
        <v>664</v>
      </c>
      <c r="C267" s="209">
        <v>0</v>
      </c>
      <c r="D267" s="209">
        <v>0</v>
      </c>
      <c r="E267" s="209">
        <v>0</v>
      </c>
      <c r="F267" s="209">
        <v>0</v>
      </c>
      <c r="G267" s="242">
        <v>0</v>
      </c>
      <c r="H267" s="239"/>
      <c r="I267" s="239"/>
      <c r="J267" s="210">
        <v>0</v>
      </c>
      <c r="K267" s="209">
        <v>0</v>
      </c>
      <c r="L267" s="209">
        <v>0</v>
      </c>
      <c r="M267" s="209">
        <v>0</v>
      </c>
      <c r="N267" s="242">
        <v>0</v>
      </c>
      <c r="O267" s="239"/>
    </row>
    <row r="268" spans="1:15" ht="23" x14ac:dyDescent="0.35">
      <c r="A268" s="211" t="s">
        <v>665</v>
      </c>
      <c r="B268" s="211" t="s">
        <v>666</v>
      </c>
      <c r="C268" s="209">
        <v>0</v>
      </c>
      <c r="D268" s="209">
        <v>0</v>
      </c>
      <c r="E268" s="209">
        <v>0</v>
      </c>
      <c r="F268" s="209">
        <v>0</v>
      </c>
      <c r="G268" s="242">
        <v>0</v>
      </c>
      <c r="H268" s="239"/>
      <c r="I268" s="239"/>
      <c r="J268" s="210">
        <v>0</v>
      </c>
      <c r="K268" s="209">
        <v>0</v>
      </c>
      <c r="L268" s="209">
        <v>0</v>
      </c>
      <c r="M268" s="209">
        <v>0</v>
      </c>
      <c r="N268" s="242">
        <v>0</v>
      </c>
      <c r="O268" s="239"/>
    </row>
    <row r="269" spans="1:15" ht="23" x14ac:dyDescent="0.35">
      <c r="A269" s="211" t="s">
        <v>667</v>
      </c>
      <c r="B269" s="211" t="s">
        <v>668</v>
      </c>
      <c r="C269" s="209">
        <v>0</v>
      </c>
      <c r="D269" s="209">
        <v>0</v>
      </c>
      <c r="E269" s="209">
        <v>0</v>
      </c>
      <c r="F269" s="209">
        <v>0</v>
      </c>
      <c r="G269" s="242">
        <v>0</v>
      </c>
      <c r="H269" s="239"/>
      <c r="I269" s="239"/>
      <c r="J269" s="210">
        <v>0</v>
      </c>
      <c r="K269" s="209">
        <v>0</v>
      </c>
      <c r="L269" s="209">
        <v>0</v>
      </c>
      <c r="M269" s="209">
        <v>0</v>
      </c>
      <c r="N269" s="242">
        <v>0</v>
      </c>
      <c r="O269" s="239"/>
    </row>
    <row r="270" spans="1:15" ht="23" x14ac:dyDescent="0.35">
      <c r="A270" s="211" t="s">
        <v>669</v>
      </c>
      <c r="B270" s="211" t="s">
        <v>670</v>
      </c>
      <c r="C270" s="209">
        <v>0</v>
      </c>
      <c r="D270" s="209">
        <v>0</v>
      </c>
      <c r="E270" s="209">
        <v>0</v>
      </c>
      <c r="F270" s="209">
        <v>0</v>
      </c>
      <c r="G270" s="242">
        <v>0</v>
      </c>
      <c r="H270" s="239"/>
      <c r="I270" s="239"/>
      <c r="J270" s="210">
        <v>0</v>
      </c>
      <c r="K270" s="209">
        <v>0</v>
      </c>
      <c r="L270" s="209">
        <v>0</v>
      </c>
      <c r="M270" s="209">
        <v>0</v>
      </c>
      <c r="N270" s="242">
        <v>0</v>
      </c>
      <c r="O270" s="239"/>
    </row>
    <row r="271" spans="1:15" ht="23" x14ac:dyDescent="0.35">
      <c r="A271" s="211" t="s">
        <v>671</v>
      </c>
      <c r="B271" s="211" t="s">
        <v>672</v>
      </c>
      <c r="C271" s="209">
        <v>0</v>
      </c>
      <c r="D271" s="209">
        <v>0</v>
      </c>
      <c r="E271" s="209">
        <v>0</v>
      </c>
      <c r="F271" s="209">
        <v>0</v>
      </c>
      <c r="G271" s="242">
        <v>0</v>
      </c>
      <c r="H271" s="239"/>
      <c r="I271" s="239"/>
      <c r="J271" s="210">
        <v>0</v>
      </c>
      <c r="K271" s="209">
        <v>0</v>
      </c>
      <c r="L271" s="209">
        <v>0</v>
      </c>
      <c r="M271" s="209">
        <v>0</v>
      </c>
      <c r="N271" s="242">
        <v>0</v>
      </c>
      <c r="O271" s="239"/>
    </row>
    <row r="272" spans="1:15" ht="23" x14ac:dyDescent="0.35">
      <c r="A272" s="211" t="s">
        <v>673</v>
      </c>
      <c r="B272" s="211" t="s">
        <v>674</v>
      </c>
      <c r="C272" s="209">
        <v>0</v>
      </c>
      <c r="D272" s="209">
        <v>0</v>
      </c>
      <c r="E272" s="209">
        <v>0</v>
      </c>
      <c r="F272" s="209">
        <v>0</v>
      </c>
      <c r="G272" s="242">
        <v>0</v>
      </c>
      <c r="H272" s="239"/>
      <c r="I272" s="239"/>
      <c r="J272" s="210">
        <v>0</v>
      </c>
      <c r="K272" s="209">
        <v>0</v>
      </c>
      <c r="L272" s="209">
        <v>0</v>
      </c>
      <c r="M272" s="209">
        <v>0</v>
      </c>
      <c r="N272" s="242">
        <v>0</v>
      </c>
      <c r="O272" s="239"/>
    </row>
    <row r="273" spans="1:15" ht="23" x14ac:dyDescent="0.35">
      <c r="A273" s="211" t="s">
        <v>675</v>
      </c>
      <c r="B273" s="211" t="s">
        <v>676</v>
      </c>
      <c r="C273" s="209">
        <v>0</v>
      </c>
      <c r="D273" s="209">
        <v>0</v>
      </c>
      <c r="E273" s="209">
        <v>0</v>
      </c>
      <c r="F273" s="209">
        <v>0</v>
      </c>
      <c r="G273" s="242">
        <v>0</v>
      </c>
      <c r="H273" s="239"/>
      <c r="I273" s="239"/>
      <c r="J273" s="210">
        <v>0</v>
      </c>
      <c r="K273" s="209">
        <v>0</v>
      </c>
      <c r="L273" s="209">
        <v>0</v>
      </c>
      <c r="M273" s="209">
        <v>0</v>
      </c>
      <c r="N273" s="242">
        <v>0</v>
      </c>
      <c r="O273" s="239"/>
    </row>
    <row r="274" spans="1:15" ht="23" x14ac:dyDescent="0.35">
      <c r="A274" s="211" t="s">
        <v>677</v>
      </c>
      <c r="B274" s="211" t="s">
        <v>678</v>
      </c>
      <c r="C274" s="209">
        <v>0</v>
      </c>
      <c r="D274" s="209">
        <v>0</v>
      </c>
      <c r="E274" s="209">
        <v>0</v>
      </c>
      <c r="F274" s="209">
        <v>0</v>
      </c>
      <c r="G274" s="242">
        <v>0</v>
      </c>
      <c r="H274" s="239"/>
      <c r="I274" s="239"/>
      <c r="J274" s="210">
        <v>0</v>
      </c>
      <c r="K274" s="209">
        <v>0</v>
      </c>
      <c r="L274" s="209">
        <v>0</v>
      </c>
      <c r="M274" s="209">
        <v>0</v>
      </c>
      <c r="N274" s="242">
        <v>0</v>
      </c>
      <c r="O274" s="239"/>
    </row>
    <row r="275" spans="1:15" x14ac:dyDescent="0.35">
      <c r="A275" s="211" t="s">
        <v>679</v>
      </c>
      <c r="B275" s="211" t="s">
        <v>680</v>
      </c>
      <c r="C275" s="209">
        <v>0</v>
      </c>
      <c r="D275" s="209">
        <v>0</v>
      </c>
      <c r="E275" s="209">
        <v>0</v>
      </c>
      <c r="F275" s="209">
        <v>0</v>
      </c>
      <c r="G275" s="242">
        <v>0</v>
      </c>
      <c r="H275" s="239"/>
      <c r="I275" s="239"/>
      <c r="J275" s="210">
        <v>0</v>
      </c>
      <c r="K275" s="209">
        <v>0</v>
      </c>
      <c r="L275" s="209">
        <v>0</v>
      </c>
      <c r="M275" s="209">
        <v>0</v>
      </c>
      <c r="N275" s="242">
        <v>0</v>
      </c>
      <c r="O275" s="239"/>
    </row>
    <row r="276" spans="1:15" x14ac:dyDescent="0.35">
      <c r="A276" s="211" t="s">
        <v>681</v>
      </c>
      <c r="B276" s="211" t="s">
        <v>682</v>
      </c>
      <c r="C276" s="209">
        <v>0</v>
      </c>
      <c r="D276" s="209">
        <v>0</v>
      </c>
      <c r="E276" s="209">
        <v>0</v>
      </c>
      <c r="F276" s="209">
        <v>0</v>
      </c>
      <c r="G276" s="242">
        <v>0</v>
      </c>
      <c r="H276" s="239"/>
      <c r="I276" s="239"/>
      <c r="J276" s="210">
        <v>0</v>
      </c>
      <c r="K276" s="209">
        <v>0</v>
      </c>
      <c r="L276" s="209">
        <v>0</v>
      </c>
      <c r="M276" s="209">
        <v>0</v>
      </c>
      <c r="N276" s="242">
        <v>0</v>
      </c>
      <c r="O276" s="239"/>
    </row>
    <row r="277" spans="1:15" ht="23" x14ac:dyDescent="0.35">
      <c r="A277" s="211" t="s">
        <v>683</v>
      </c>
      <c r="B277" s="211" t="s">
        <v>684</v>
      </c>
      <c r="C277" s="209">
        <v>0</v>
      </c>
      <c r="D277" s="209">
        <v>0</v>
      </c>
      <c r="E277" s="209">
        <v>0</v>
      </c>
      <c r="F277" s="209">
        <v>0</v>
      </c>
      <c r="G277" s="242">
        <v>0</v>
      </c>
      <c r="H277" s="239"/>
      <c r="I277" s="239"/>
      <c r="J277" s="210">
        <v>0</v>
      </c>
      <c r="K277" s="209">
        <v>0</v>
      </c>
      <c r="L277" s="209">
        <v>0</v>
      </c>
      <c r="M277" s="209">
        <v>0</v>
      </c>
      <c r="N277" s="242">
        <v>0</v>
      </c>
      <c r="O277" s="239"/>
    </row>
    <row r="278" spans="1:15" ht="23" x14ac:dyDescent="0.35">
      <c r="A278" s="211" t="s">
        <v>685</v>
      </c>
      <c r="B278" s="211" t="s">
        <v>686</v>
      </c>
      <c r="C278" s="209">
        <v>0</v>
      </c>
      <c r="D278" s="209">
        <v>0</v>
      </c>
      <c r="E278" s="209">
        <v>0</v>
      </c>
      <c r="F278" s="209">
        <v>0</v>
      </c>
      <c r="G278" s="242">
        <v>0</v>
      </c>
      <c r="H278" s="239"/>
      <c r="I278" s="239"/>
      <c r="J278" s="210">
        <v>0</v>
      </c>
      <c r="K278" s="209">
        <v>0</v>
      </c>
      <c r="L278" s="209">
        <v>0</v>
      </c>
      <c r="M278" s="209">
        <v>0</v>
      </c>
      <c r="N278" s="242">
        <v>0</v>
      </c>
      <c r="O278" s="239"/>
    </row>
    <row r="279" spans="1:15" ht="23" x14ac:dyDescent="0.35">
      <c r="A279" s="211" t="s">
        <v>687</v>
      </c>
      <c r="B279" s="211" t="s">
        <v>688</v>
      </c>
      <c r="C279" s="209">
        <v>0</v>
      </c>
      <c r="D279" s="209">
        <v>0</v>
      </c>
      <c r="E279" s="209">
        <v>0</v>
      </c>
      <c r="F279" s="209">
        <v>0</v>
      </c>
      <c r="G279" s="242">
        <v>0</v>
      </c>
      <c r="H279" s="239"/>
      <c r="I279" s="239"/>
      <c r="J279" s="210">
        <v>0</v>
      </c>
      <c r="K279" s="209">
        <v>0</v>
      </c>
      <c r="L279" s="209">
        <v>0</v>
      </c>
      <c r="M279" s="209">
        <v>0</v>
      </c>
      <c r="N279" s="242">
        <v>0</v>
      </c>
      <c r="O279" s="239"/>
    </row>
    <row r="280" spans="1:15" ht="23" x14ac:dyDescent="0.35">
      <c r="A280" s="211" t="s">
        <v>689</v>
      </c>
      <c r="B280" s="211" t="s">
        <v>690</v>
      </c>
      <c r="C280" s="209">
        <v>0</v>
      </c>
      <c r="D280" s="209">
        <v>0</v>
      </c>
      <c r="E280" s="209">
        <v>0</v>
      </c>
      <c r="F280" s="209">
        <v>0</v>
      </c>
      <c r="G280" s="242">
        <v>0</v>
      </c>
      <c r="H280" s="239"/>
      <c r="I280" s="239"/>
      <c r="J280" s="210">
        <v>0</v>
      </c>
      <c r="K280" s="209">
        <v>0</v>
      </c>
      <c r="L280" s="209">
        <v>0</v>
      </c>
      <c r="M280" s="209">
        <v>0</v>
      </c>
      <c r="N280" s="242">
        <v>0</v>
      </c>
      <c r="O280" s="239"/>
    </row>
    <row r="281" spans="1:15" ht="23" x14ac:dyDescent="0.35">
      <c r="A281" s="211" t="s">
        <v>691</v>
      </c>
      <c r="B281" s="211" t="s">
        <v>692</v>
      </c>
      <c r="C281" s="209">
        <v>0</v>
      </c>
      <c r="D281" s="209">
        <v>0</v>
      </c>
      <c r="E281" s="209">
        <v>0</v>
      </c>
      <c r="F281" s="209">
        <v>0</v>
      </c>
      <c r="G281" s="242">
        <v>0</v>
      </c>
      <c r="H281" s="239"/>
      <c r="I281" s="239"/>
      <c r="J281" s="210">
        <v>0</v>
      </c>
      <c r="K281" s="209">
        <v>0</v>
      </c>
      <c r="L281" s="209">
        <v>0</v>
      </c>
      <c r="M281" s="209">
        <v>0</v>
      </c>
      <c r="N281" s="242">
        <v>0</v>
      </c>
      <c r="O281" s="239"/>
    </row>
    <row r="282" spans="1:15" ht="23" x14ac:dyDescent="0.35">
      <c r="A282" s="211" t="s">
        <v>693</v>
      </c>
      <c r="B282" s="211" t="s">
        <v>694</v>
      </c>
      <c r="C282" s="209">
        <v>0</v>
      </c>
      <c r="D282" s="209">
        <v>0</v>
      </c>
      <c r="E282" s="209">
        <v>0</v>
      </c>
      <c r="F282" s="209">
        <v>0</v>
      </c>
      <c r="G282" s="242">
        <v>0</v>
      </c>
      <c r="H282" s="239"/>
      <c r="I282" s="239"/>
      <c r="J282" s="210">
        <v>0</v>
      </c>
      <c r="K282" s="209">
        <v>0</v>
      </c>
      <c r="L282" s="209">
        <v>0</v>
      </c>
      <c r="M282" s="209">
        <v>0</v>
      </c>
      <c r="N282" s="242">
        <v>0</v>
      </c>
      <c r="O282" s="239"/>
    </row>
    <row r="283" spans="1:15" x14ac:dyDescent="0.35">
      <c r="A283" s="211" t="s">
        <v>695</v>
      </c>
      <c r="B283" s="211" t="s">
        <v>696</v>
      </c>
      <c r="C283" s="209">
        <v>404181</v>
      </c>
      <c r="D283" s="209">
        <v>0</v>
      </c>
      <c r="E283" s="209">
        <v>0</v>
      </c>
      <c r="F283" s="209">
        <v>404181</v>
      </c>
      <c r="G283" s="242">
        <v>-404181</v>
      </c>
      <c r="H283" s="239"/>
      <c r="I283" s="239"/>
      <c r="J283" s="210">
        <v>0</v>
      </c>
      <c r="K283" s="209">
        <v>0</v>
      </c>
      <c r="L283" s="209">
        <v>-404181</v>
      </c>
      <c r="M283" s="209">
        <v>0</v>
      </c>
      <c r="N283" s="242">
        <v>0</v>
      </c>
      <c r="O283" s="239"/>
    </row>
    <row r="284" spans="1:15" x14ac:dyDescent="0.35">
      <c r="A284" s="211" t="s">
        <v>697</v>
      </c>
      <c r="B284" s="211" t="s">
        <v>203</v>
      </c>
      <c r="C284" s="209">
        <v>6179364</v>
      </c>
      <c r="D284" s="209">
        <v>0</v>
      </c>
      <c r="E284" s="209">
        <v>0</v>
      </c>
      <c r="F284" s="209">
        <v>6179364</v>
      </c>
      <c r="G284" s="242">
        <v>-6179364</v>
      </c>
      <c r="H284" s="239"/>
      <c r="I284" s="239"/>
      <c r="J284" s="210">
        <v>0</v>
      </c>
      <c r="K284" s="209">
        <v>0</v>
      </c>
      <c r="L284" s="209">
        <v>-6179364</v>
      </c>
      <c r="M284" s="209">
        <v>0</v>
      </c>
      <c r="N284" s="242">
        <v>0</v>
      </c>
      <c r="O284" s="239"/>
    </row>
    <row r="285" spans="1:15" x14ac:dyDescent="0.35">
      <c r="A285" s="211" t="s">
        <v>698</v>
      </c>
      <c r="B285" s="211" t="s">
        <v>220</v>
      </c>
      <c r="C285" s="209">
        <v>1100000</v>
      </c>
      <c r="D285" s="209">
        <v>0</v>
      </c>
      <c r="E285" s="209">
        <v>0</v>
      </c>
      <c r="F285" s="209">
        <v>1100000</v>
      </c>
      <c r="G285" s="242">
        <v>-1100000</v>
      </c>
      <c r="H285" s="239"/>
      <c r="I285" s="239"/>
      <c r="J285" s="210">
        <v>0</v>
      </c>
      <c r="K285" s="209">
        <v>0</v>
      </c>
      <c r="L285" s="209">
        <v>-1100000</v>
      </c>
      <c r="M285" s="209">
        <v>0</v>
      </c>
      <c r="N285" s="242">
        <v>0</v>
      </c>
      <c r="O285" s="239"/>
    </row>
    <row r="286" spans="1:15" x14ac:dyDescent="0.35">
      <c r="A286" s="211" t="s">
        <v>699</v>
      </c>
      <c r="B286" s="211" t="s">
        <v>220</v>
      </c>
      <c r="C286" s="209">
        <v>1100000</v>
      </c>
      <c r="D286" s="209">
        <v>0</v>
      </c>
      <c r="E286" s="209">
        <v>0</v>
      </c>
      <c r="F286" s="209">
        <v>1100000</v>
      </c>
      <c r="G286" s="242">
        <v>-1100000</v>
      </c>
      <c r="H286" s="239"/>
      <c r="I286" s="239"/>
      <c r="J286" s="210">
        <v>0</v>
      </c>
      <c r="K286" s="209">
        <v>0</v>
      </c>
      <c r="L286" s="209">
        <v>-1100000</v>
      </c>
      <c r="M286" s="209">
        <v>0</v>
      </c>
      <c r="N286" s="242">
        <v>0</v>
      </c>
      <c r="O286" s="239"/>
    </row>
    <row r="287" spans="1:15" ht="23" x14ac:dyDescent="0.35">
      <c r="A287" s="211" t="s">
        <v>700</v>
      </c>
      <c r="B287" s="211" t="s">
        <v>701</v>
      </c>
      <c r="C287" s="209">
        <v>495684</v>
      </c>
      <c r="D287" s="209">
        <v>0</v>
      </c>
      <c r="E287" s="209">
        <v>0</v>
      </c>
      <c r="F287" s="209">
        <v>495684</v>
      </c>
      <c r="G287" s="242">
        <v>-495684</v>
      </c>
      <c r="H287" s="239"/>
      <c r="I287" s="239"/>
      <c r="J287" s="210">
        <v>0</v>
      </c>
      <c r="K287" s="209">
        <v>0</v>
      </c>
      <c r="L287" s="209">
        <v>-495684</v>
      </c>
      <c r="M287" s="209">
        <v>0</v>
      </c>
      <c r="N287" s="242">
        <v>0</v>
      </c>
      <c r="O287" s="239"/>
    </row>
    <row r="288" spans="1:15" ht="23" x14ac:dyDescent="0.35">
      <c r="A288" s="211" t="s">
        <v>702</v>
      </c>
      <c r="B288" s="211" t="s">
        <v>703</v>
      </c>
      <c r="C288" s="209">
        <v>210000</v>
      </c>
      <c r="D288" s="209">
        <v>0</v>
      </c>
      <c r="E288" s="209">
        <v>0</v>
      </c>
      <c r="F288" s="209">
        <v>210000</v>
      </c>
      <c r="G288" s="242">
        <v>-210000</v>
      </c>
      <c r="H288" s="239"/>
      <c r="I288" s="239"/>
      <c r="J288" s="210">
        <v>0</v>
      </c>
      <c r="K288" s="209">
        <v>0</v>
      </c>
      <c r="L288" s="209">
        <v>-210000</v>
      </c>
      <c r="M288" s="209">
        <v>0</v>
      </c>
      <c r="N288" s="242">
        <v>0</v>
      </c>
      <c r="O288" s="239"/>
    </row>
    <row r="289" spans="1:15" ht="23" x14ac:dyDescent="0.35">
      <c r="A289" s="211" t="s">
        <v>704</v>
      </c>
      <c r="B289" s="211" t="s">
        <v>705</v>
      </c>
      <c r="C289" s="209">
        <v>318378</v>
      </c>
      <c r="D289" s="209">
        <v>0</v>
      </c>
      <c r="E289" s="209">
        <v>0</v>
      </c>
      <c r="F289" s="209">
        <v>318378</v>
      </c>
      <c r="G289" s="242">
        <v>-318378</v>
      </c>
      <c r="H289" s="239"/>
      <c r="I289" s="239"/>
      <c r="J289" s="210">
        <v>0</v>
      </c>
      <c r="K289" s="209">
        <v>0</v>
      </c>
      <c r="L289" s="209">
        <v>-318378</v>
      </c>
      <c r="M289" s="209">
        <v>0</v>
      </c>
      <c r="N289" s="242">
        <v>0</v>
      </c>
      <c r="O289" s="239"/>
    </row>
    <row r="290" spans="1:15" x14ac:dyDescent="0.35">
      <c r="A290" s="243" t="s">
        <v>706</v>
      </c>
      <c r="B290" s="244"/>
      <c r="C290" s="207">
        <v>109118722.75</v>
      </c>
      <c r="D290" s="207">
        <v>0</v>
      </c>
      <c r="E290" s="207">
        <v>0</v>
      </c>
      <c r="F290" s="207">
        <v>109118722.75</v>
      </c>
      <c r="G290" s="245">
        <v>-109118716.33</v>
      </c>
      <c r="H290" s="244"/>
      <c r="I290" s="244"/>
      <c r="J290" s="208">
        <v>-0.46</v>
      </c>
      <c r="K290" s="207">
        <v>0</v>
      </c>
      <c r="L290" s="207">
        <v>-109118716.79000001</v>
      </c>
      <c r="M290" s="207">
        <v>6.42</v>
      </c>
      <c r="N290" s="245">
        <v>5.96</v>
      </c>
      <c r="O290" s="244"/>
    </row>
    <row r="291" spans="1:15" ht="10" customHeight="1" x14ac:dyDescent="0.35">
      <c r="A291" s="249" t="s">
        <v>171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1:15" ht="5.15" customHeight="1" x14ac:dyDescent="0.35">
      <c r="A292" s="248" t="s">
        <v>171</v>
      </c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1:15" ht="10" customHeight="1" x14ac:dyDescent="0.35">
      <c r="A293" s="249" t="s">
        <v>707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1:15" ht="23" x14ac:dyDescent="0.35">
      <c r="A294" s="211" t="s">
        <v>708</v>
      </c>
      <c r="B294" s="211" t="s">
        <v>709</v>
      </c>
      <c r="C294" s="209">
        <v>383801</v>
      </c>
      <c r="D294" s="209">
        <v>0</v>
      </c>
      <c r="E294" s="209">
        <v>0</v>
      </c>
      <c r="F294" s="209">
        <v>383801</v>
      </c>
      <c r="G294" s="242">
        <v>-249467.72</v>
      </c>
      <c r="H294" s="239"/>
      <c r="I294" s="239"/>
      <c r="J294" s="210">
        <v>-19190</v>
      </c>
      <c r="K294" s="209">
        <v>0</v>
      </c>
      <c r="L294" s="209">
        <v>-268657.71999999997</v>
      </c>
      <c r="M294" s="209">
        <v>134333.28</v>
      </c>
      <c r="N294" s="242">
        <v>115143.28</v>
      </c>
      <c r="O294" s="239"/>
    </row>
    <row r="295" spans="1:15" ht="23" x14ac:dyDescent="0.35">
      <c r="A295" s="211" t="s">
        <v>710</v>
      </c>
      <c r="B295" s="211" t="s">
        <v>711</v>
      </c>
      <c r="C295" s="209">
        <v>6342432</v>
      </c>
      <c r="D295" s="209">
        <v>0</v>
      </c>
      <c r="E295" s="209">
        <v>0</v>
      </c>
      <c r="F295" s="209">
        <v>6342432</v>
      </c>
      <c r="G295" s="242">
        <v>-4122288.94</v>
      </c>
      <c r="H295" s="239"/>
      <c r="I295" s="239"/>
      <c r="J295" s="210">
        <v>-317164</v>
      </c>
      <c r="K295" s="209">
        <v>0</v>
      </c>
      <c r="L295" s="209">
        <v>-4439452.9400000004</v>
      </c>
      <c r="M295" s="209">
        <v>2220143.06</v>
      </c>
      <c r="N295" s="242">
        <v>1902979.06</v>
      </c>
      <c r="O295" s="239"/>
    </row>
    <row r="296" spans="1:15" ht="23" x14ac:dyDescent="0.35">
      <c r="A296" s="211" t="s">
        <v>712</v>
      </c>
      <c r="B296" s="211" t="s">
        <v>713</v>
      </c>
      <c r="C296" s="209">
        <v>2721243</v>
      </c>
      <c r="D296" s="209">
        <v>0</v>
      </c>
      <c r="E296" s="209">
        <v>0</v>
      </c>
      <c r="F296" s="209">
        <v>2721243</v>
      </c>
      <c r="G296" s="242">
        <v>-2358338.58</v>
      </c>
      <c r="H296" s="239"/>
      <c r="I296" s="239"/>
      <c r="J296" s="210">
        <v>-181452</v>
      </c>
      <c r="K296" s="209">
        <v>0</v>
      </c>
      <c r="L296" s="209">
        <v>-2539790.58</v>
      </c>
      <c r="M296" s="209">
        <v>362904.42</v>
      </c>
      <c r="N296" s="242">
        <v>181452.42</v>
      </c>
      <c r="O296" s="239"/>
    </row>
    <row r="297" spans="1:15" ht="23" x14ac:dyDescent="0.35">
      <c r="A297" s="211" t="s">
        <v>714</v>
      </c>
      <c r="B297" s="211" t="s">
        <v>715</v>
      </c>
      <c r="C297" s="209">
        <v>4318238.8</v>
      </c>
      <c r="D297" s="209">
        <v>0</v>
      </c>
      <c r="E297" s="209">
        <v>0</v>
      </c>
      <c r="F297" s="209">
        <v>4318238.8</v>
      </c>
      <c r="G297" s="242">
        <v>-3742466.55</v>
      </c>
      <c r="H297" s="239"/>
      <c r="I297" s="239"/>
      <c r="J297" s="210">
        <v>-287886</v>
      </c>
      <c r="K297" s="209">
        <v>0</v>
      </c>
      <c r="L297" s="209">
        <v>-4030352.55</v>
      </c>
      <c r="M297" s="209">
        <v>575772.25</v>
      </c>
      <c r="N297" s="242">
        <v>287886.25</v>
      </c>
      <c r="O297" s="239"/>
    </row>
    <row r="298" spans="1:15" ht="23" x14ac:dyDescent="0.35">
      <c r="A298" s="211" t="s">
        <v>716</v>
      </c>
      <c r="B298" s="211" t="s">
        <v>717</v>
      </c>
      <c r="C298" s="209">
        <v>4143898.6</v>
      </c>
      <c r="D298" s="209">
        <v>0</v>
      </c>
      <c r="E298" s="209">
        <v>0</v>
      </c>
      <c r="F298" s="209">
        <v>4143898.6</v>
      </c>
      <c r="G298" s="242">
        <v>-2693491.89</v>
      </c>
      <c r="H298" s="239"/>
      <c r="I298" s="239"/>
      <c r="J298" s="210">
        <v>-207201</v>
      </c>
      <c r="K298" s="209">
        <v>0</v>
      </c>
      <c r="L298" s="209">
        <v>-2900692.89</v>
      </c>
      <c r="M298" s="209">
        <v>1450406.71</v>
      </c>
      <c r="N298" s="242">
        <v>1243205.71</v>
      </c>
      <c r="O298" s="239"/>
    </row>
    <row r="299" spans="1:15" ht="23" x14ac:dyDescent="0.35">
      <c r="A299" s="211" t="s">
        <v>718</v>
      </c>
      <c r="B299" s="211" t="s">
        <v>719</v>
      </c>
      <c r="C299" s="209">
        <v>632099.6</v>
      </c>
      <c r="D299" s="209">
        <v>0</v>
      </c>
      <c r="E299" s="209">
        <v>0</v>
      </c>
      <c r="F299" s="209">
        <v>632099.6</v>
      </c>
      <c r="G299" s="242">
        <v>-547535.52</v>
      </c>
      <c r="H299" s="239"/>
      <c r="I299" s="239"/>
      <c r="J299" s="210">
        <v>-42282</v>
      </c>
      <c r="K299" s="209">
        <v>0</v>
      </c>
      <c r="L299" s="209">
        <v>-589817.52</v>
      </c>
      <c r="M299" s="209">
        <v>84564.08</v>
      </c>
      <c r="N299" s="242">
        <v>42282.080000000002</v>
      </c>
      <c r="O299" s="239"/>
    </row>
    <row r="300" spans="1:15" ht="23" x14ac:dyDescent="0.35">
      <c r="A300" s="211" t="s">
        <v>720</v>
      </c>
      <c r="B300" s="211" t="s">
        <v>721</v>
      </c>
      <c r="C300" s="209">
        <v>650750</v>
      </c>
      <c r="D300" s="209">
        <v>0</v>
      </c>
      <c r="E300" s="209">
        <v>0</v>
      </c>
      <c r="F300" s="209">
        <v>650750</v>
      </c>
      <c r="G300" s="242">
        <v>-390446.46</v>
      </c>
      <c r="H300" s="239"/>
      <c r="I300" s="239"/>
      <c r="J300" s="210">
        <v>-32538</v>
      </c>
      <c r="K300" s="209">
        <v>0</v>
      </c>
      <c r="L300" s="209">
        <v>-422984.46</v>
      </c>
      <c r="M300" s="209">
        <v>260303.54</v>
      </c>
      <c r="N300" s="242">
        <v>227765.54</v>
      </c>
      <c r="O300" s="239"/>
    </row>
    <row r="301" spans="1:15" ht="34.5" x14ac:dyDescent="0.35">
      <c r="A301" s="211" t="s">
        <v>722</v>
      </c>
      <c r="B301" s="211" t="s">
        <v>723</v>
      </c>
      <c r="C301" s="209">
        <v>119250</v>
      </c>
      <c r="D301" s="209">
        <v>0</v>
      </c>
      <c r="E301" s="209">
        <v>0</v>
      </c>
      <c r="F301" s="209">
        <v>119250</v>
      </c>
      <c r="G301" s="242">
        <v>-69407.259999999995</v>
      </c>
      <c r="H301" s="239"/>
      <c r="I301" s="239"/>
      <c r="J301" s="210">
        <v>-5981</v>
      </c>
      <c r="K301" s="209">
        <v>0</v>
      </c>
      <c r="L301" s="209">
        <v>-75388.259999999995</v>
      </c>
      <c r="M301" s="209">
        <v>49842.74</v>
      </c>
      <c r="N301" s="242">
        <v>43861.74</v>
      </c>
      <c r="O301" s="239"/>
    </row>
    <row r="302" spans="1:15" ht="23" x14ac:dyDescent="0.35">
      <c r="A302" s="211" t="s">
        <v>724</v>
      </c>
      <c r="B302" s="211" t="s">
        <v>725</v>
      </c>
      <c r="C302" s="209">
        <v>3283503</v>
      </c>
      <c r="D302" s="209">
        <v>0</v>
      </c>
      <c r="E302" s="209">
        <v>0</v>
      </c>
      <c r="F302" s="209">
        <v>3283503</v>
      </c>
      <c r="G302" s="242">
        <v>-1805921.14</v>
      </c>
      <c r="H302" s="239"/>
      <c r="I302" s="239"/>
      <c r="J302" s="210">
        <v>-164176</v>
      </c>
      <c r="K302" s="209">
        <v>0</v>
      </c>
      <c r="L302" s="209">
        <v>-1970097.14</v>
      </c>
      <c r="M302" s="209">
        <v>1477581.86</v>
      </c>
      <c r="N302" s="242">
        <v>1313405.8600000001</v>
      </c>
      <c r="O302" s="239"/>
    </row>
    <row r="303" spans="1:15" ht="23" x14ac:dyDescent="0.35">
      <c r="A303" s="211" t="s">
        <v>726</v>
      </c>
      <c r="B303" s="211" t="s">
        <v>727</v>
      </c>
      <c r="C303" s="209">
        <v>190716.9</v>
      </c>
      <c r="D303" s="209">
        <v>0</v>
      </c>
      <c r="E303" s="209">
        <v>0</v>
      </c>
      <c r="F303" s="209">
        <v>190716.9</v>
      </c>
      <c r="G303" s="242">
        <v>-190716.9</v>
      </c>
      <c r="H303" s="239"/>
      <c r="I303" s="239"/>
      <c r="J303" s="210">
        <v>0</v>
      </c>
      <c r="K303" s="209">
        <v>0</v>
      </c>
      <c r="L303" s="209">
        <v>-190716.9</v>
      </c>
      <c r="M303" s="209">
        <v>0</v>
      </c>
      <c r="N303" s="242">
        <v>0</v>
      </c>
      <c r="O303" s="239"/>
    </row>
    <row r="304" spans="1:15" ht="23" x14ac:dyDescent="0.35">
      <c r="A304" s="211" t="s">
        <v>728</v>
      </c>
      <c r="B304" s="211" t="s">
        <v>729</v>
      </c>
      <c r="C304" s="209">
        <v>98200</v>
      </c>
      <c r="D304" s="209">
        <v>0</v>
      </c>
      <c r="E304" s="209">
        <v>0</v>
      </c>
      <c r="F304" s="209">
        <v>98200</v>
      </c>
      <c r="G304" s="242">
        <v>-48560</v>
      </c>
      <c r="H304" s="239"/>
      <c r="I304" s="239"/>
      <c r="J304" s="210">
        <v>-6546</v>
      </c>
      <c r="K304" s="209">
        <v>0</v>
      </c>
      <c r="L304" s="209">
        <v>-55106</v>
      </c>
      <c r="M304" s="209">
        <v>49640</v>
      </c>
      <c r="N304" s="242">
        <v>43094</v>
      </c>
      <c r="O304" s="239"/>
    </row>
    <row r="305" spans="1:15" x14ac:dyDescent="0.35">
      <c r="A305" s="211" t="s">
        <v>730</v>
      </c>
      <c r="B305" s="211" t="s">
        <v>731</v>
      </c>
      <c r="C305" s="209">
        <v>1107237</v>
      </c>
      <c r="D305" s="209">
        <v>0</v>
      </c>
      <c r="E305" s="209">
        <v>0</v>
      </c>
      <c r="F305" s="209">
        <v>1107237</v>
      </c>
      <c r="G305" s="242">
        <v>-1033419.93</v>
      </c>
      <c r="H305" s="239"/>
      <c r="I305" s="239"/>
      <c r="J305" s="210">
        <v>-73817</v>
      </c>
      <c r="K305" s="209">
        <v>0</v>
      </c>
      <c r="L305" s="209">
        <v>-1107236.93</v>
      </c>
      <c r="M305" s="209">
        <v>73817.070000000007</v>
      </c>
      <c r="N305" s="242">
        <v>7.0000000000000007E-2</v>
      </c>
      <c r="O305" s="239"/>
    </row>
    <row r="306" spans="1:15" x14ac:dyDescent="0.35">
      <c r="A306" s="243" t="s">
        <v>732</v>
      </c>
      <c r="B306" s="244"/>
      <c r="C306" s="207">
        <v>23991369.899999999</v>
      </c>
      <c r="D306" s="207">
        <v>0</v>
      </c>
      <c r="E306" s="207">
        <v>0</v>
      </c>
      <c r="F306" s="207">
        <v>23991369.899999999</v>
      </c>
      <c r="G306" s="245">
        <v>-17252060.890000001</v>
      </c>
      <c r="H306" s="244"/>
      <c r="I306" s="244"/>
      <c r="J306" s="208">
        <v>-1338233</v>
      </c>
      <c r="K306" s="207">
        <v>0</v>
      </c>
      <c r="L306" s="207">
        <v>-18590293.890000001</v>
      </c>
      <c r="M306" s="207">
        <v>6739309.0099999998</v>
      </c>
      <c r="N306" s="245">
        <v>5401076.0099999998</v>
      </c>
      <c r="O306" s="244"/>
    </row>
    <row r="307" spans="1:15" ht="10" customHeight="1" x14ac:dyDescent="0.35">
      <c r="A307" s="249" t="s">
        <v>171</v>
      </c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1:15" ht="5.15" customHeight="1" x14ac:dyDescent="0.35">
      <c r="A308" s="248" t="s">
        <v>171</v>
      </c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1:15" ht="10" customHeight="1" x14ac:dyDescent="0.35">
      <c r="A309" s="249" t="s">
        <v>733</v>
      </c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1:15" x14ac:dyDescent="0.35">
      <c r="A310" s="211" t="s">
        <v>734</v>
      </c>
      <c r="B310" s="211" t="s">
        <v>735</v>
      </c>
      <c r="C310" s="209">
        <v>10097833.26</v>
      </c>
      <c r="D310" s="209">
        <v>0</v>
      </c>
      <c r="E310" s="209">
        <v>0</v>
      </c>
      <c r="F310" s="209">
        <v>10097833.26</v>
      </c>
      <c r="G310" s="242">
        <v>-10097833.26</v>
      </c>
      <c r="H310" s="239"/>
      <c r="I310" s="239"/>
      <c r="J310" s="210">
        <v>0</v>
      </c>
      <c r="K310" s="209">
        <v>0</v>
      </c>
      <c r="L310" s="209">
        <v>-10097833.26</v>
      </c>
      <c r="M310" s="209">
        <v>0</v>
      </c>
      <c r="N310" s="242">
        <v>0</v>
      </c>
      <c r="O310" s="239"/>
    </row>
    <row r="311" spans="1:15" ht="23" x14ac:dyDescent="0.35">
      <c r="A311" s="211" t="s">
        <v>736</v>
      </c>
      <c r="B311" s="211" t="s">
        <v>737</v>
      </c>
      <c r="C311" s="209">
        <v>253101</v>
      </c>
      <c r="D311" s="209">
        <v>0</v>
      </c>
      <c r="E311" s="209">
        <v>0</v>
      </c>
      <c r="F311" s="209">
        <v>253101</v>
      </c>
      <c r="G311" s="242">
        <v>-253101</v>
      </c>
      <c r="H311" s="239"/>
      <c r="I311" s="239"/>
      <c r="J311" s="210">
        <v>0</v>
      </c>
      <c r="K311" s="209">
        <v>0</v>
      </c>
      <c r="L311" s="209">
        <v>-253101</v>
      </c>
      <c r="M311" s="209">
        <v>0</v>
      </c>
      <c r="N311" s="242">
        <v>0</v>
      </c>
      <c r="O311" s="239"/>
    </row>
    <row r="312" spans="1:15" ht="23" x14ac:dyDescent="0.35">
      <c r="A312" s="211" t="s">
        <v>738</v>
      </c>
      <c r="B312" s="211" t="s">
        <v>739</v>
      </c>
      <c r="C312" s="209">
        <v>2174899</v>
      </c>
      <c r="D312" s="209">
        <v>0</v>
      </c>
      <c r="E312" s="209">
        <v>0</v>
      </c>
      <c r="F312" s="209">
        <v>2174899</v>
      </c>
      <c r="G312" s="242">
        <v>-2174898.5499999998</v>
      </c>
      <c r="H312" s="239"/>
      <c r="I312" s="239"/>
      <c r="J312" s="210">
        <v>0</v>
      </c>
      <c r="K312" s="209">
        <v>0</v>
      </c>
      <c r="L312" s="209">
        <v>-2174898.5499999998</v>
      </c>
      <c r="M312" s="209">
        <v>0.45</v>
      </c>
      <c r="N312" s="242">
        <v>0.45</v>
      </c>
      <c r="O312" s="239"/>
    </row>
    <row r="313" spans="1:15" ht="23" x14ac:dyDescent="0.35">
      <c r="A313" s="211" t="s">
        <v>740</v>
      </c>
      <c r="B313" s="211" t="s">
        <v>741</v>
      </c>
      <c r="C313" s="209">
        <v>281078.09000000003</v>
      </c>
      <c r="D313" s="209">
        <v>0</v>
      </c>
      <c r="E313" s="209">
        <v>0</v>
      </c>
      <c r="F313" s="209">
        <v>281078.09000000003</v>
      </c>
      <c r="G313" s="242">
        <v>-281078.09000000003</v>
      </c>
      <c r="H313" s="239"/>
      <c r="I313" s="239"/>
      <c r="J313" s="210">
        <v>0</v>
      </c>
      <c r="K313" s="209">
        <v>0</v>
      </c>
      <c r="L313" s="209">
        <v>-281078.09000000003</v>
      </c>
      <c r="M313" s="209">
        <v>0</v>
      </c>
      <c r="N313" s="242">
        <v>0</v>
      </c>
      <c r="O313" s="239"/>
    </row>
    <row r="314" spans="1:15" x14ac:dyDescent="0.35">
      <c r="A314" s="211" t="s">
        <v>742</v>
      </c>
      <c r="B314" s="211" t="s">
        <v>743</v>
      </c>
      <c r="C314" s="209">
        <v>300510.5</v>
      </c>
      <c r="D314" s="209">
        <v>0</v>
      </c>
      <c r="E314" s="209">
        <v>0</v>
      </c>
      <c r="F314" s="209">
        <v>300510.5</v>
      </c>
      <c r="G314" s="242">
        <v>-300510.5</v>
      </c>
      <c r="H314" s="239"/>
      <c r="I314" s="239"/>
      <c r="J314" s="210">
        <v>0</v>
      </c>
      <c r="K314" s="209">
        <v>0</v>
      </c>
      <c r="L314" s="209">
        <v>-300510.5</v>
      </c>
      <c r="M314" s="209">
        <v>0</v>
      </c>
      <c r="N314" s="242">
        <v>0</v>
      </c>
      <c r="O314" s="239"/>
    </row>
    <row r="315" spans="1:15" ht="23" x14ac:dyDescent="0.35">
      <c r="A315" s="211" t="s">
        <v>744</v>
      </c>
      <c r="B315" s="211" t="s">
        <v>745</v>
      </c>
      <c r="C315" s="209">
        <v>911136.8</v>
      </c>
      <c r="D315" s="209">
        <v>0</v>
      </c>
      <c r="E315" s="209">
        <v>0</v>
      </c>
      <c r="F315" s="209">
        <v>911136.8</v>
      </c>
      <c r="G315" s="242">
        <v>-911136.8</v>
      </c>
      <c r="H315" s="239"/>
      <c r="I315" s="239"/>
      <c r="J315" s="210">
        <v>0</v>
      </c>
      <c r="K315" s="209">
        <v>0</v>
      </c>
      <c r="L315" s="209">
        <v>-911136.8</v>
      </c>
      <c r="M315" s="209">
        <v>0</v>
      </c>
      <c r="N315" s="242">
        <v>0</v>
      </c>
      <c r="O315" s="239"/>
    </row>
    <row r="316" spans="1:15" x14ac:dyDescent="0.35">
      <c r="A316" s="243" t="s">
        <v>746</v>
      </c>
      <c r="B316" s="244"/>
      <c r="C316" s="207">
        <v>14018558.65</v>
      </c>
      <c r="D316" s="207">
        <v>0</v>
      </c>
      <c r="E316" s="207">
        <v>0</v>
      </c>
      <c r="F316" s="207">
        <v>14018558.65</v>
      </c>
      <c r="G316" s="245">
        <v>-14018558.199999999</v>
      </c>
      <c r="H316" s="244"/>
      <c r="I316" s="244"/>
      <c r="J316" s="208">
        <v>0</v>
      </c>
      <c r="K316" s="207">
        <v>0</v>
      </c>
      <c r="L316" s="207">
        <v>-14018558.199999999</v>
      </c>
      <c r="M316" s="207">
        <v>0.45</v>
      </c>
      <c r="N316" s="245">
        <v>0.45</v>
      </c>
      <c r="O316" s="244"/>
    </row>
    <row r="317" spans="1:15" ht="10" customHeight="1" x14ac:dyDescent="0.35">
      <c r="A317" s="249" t="s">
        <v>171</v>
      </c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1:15" ht="5.15" customHeight="1" x14ac:dyDescent="0.35">
      <c r="A318" s="248" t="s">
        <v>171</v>
      </c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1:15" ht="10" customHeight="1" x14ac:dyDescent="0.35">
      <c r="A319" s="249" t="s">
        <v>747</v>
      </c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1:15" ht="34.5" x14ac:dyDescent="0.35">
      <c r="A320" s="211" t="s">
        <v>748</v>
      </c>
      <c r="B320" s="211" t="s">
        <v>749</v>
      </c>
      <c r="C320" s="209">
        <v>25000</v>
      </c>
      <c r="D320" s="209">
        <v>0</v>
      </c>
      <c r="E320" s="209">
        <v>0</v>
      </c>
      <c r="F320" s="209">
        <v>25000</v>
      </c>
      <c r="G320" s="242">
        <v>-25000</v>
      </c>
      <c r="H320" s="239"/>
      <c r="I320" s="239"/>
      <c r="J320" s="210">
        <v>0</v>
      </c>
      <c r="K320" s="209">
        <v>0</v>
      </c>
      <c r="L320" s="209">
        <v>-25000</v>
      </c>
      <c r="M320" s="209">
        <v>0</v>
      </c>
      <c r="N320" s="242">
        <v>0</v>
      </c>
      <c r="O320" s="239"/>
    </row>
    <row r="321" spans="1:15" ht="23" x14ac:dyDescent="0.35">
      <c r="A321" s="211" t="s">
        <v>750</v>
      </c>
      <c r="B321" s="211" t="s">
        <v>751</v>
      </c>
      <c r="C321" s="209">
        <v>102185</v>
      </c>
      <c r="D321" s="209">
        <v>0</v>
      </c>
      <c r="E321" s="209">
        <v>0</v>
      </c>
      <c r="F321" s="209">
        <v>102185</v>
      </c>
      <c r="G321" s="242">
        <v>-102185</v>
      </c>
      <c r="H321" s="239"/>
      <c r="I321" s="239"/>
      <c r="J321" s="210">
        <v>0</v>
      </c>
      <c r="K321" s="209">
        <v>0</v>
      </c>
      <c r="L321" s="209">
        <v>-102185</v>
      </c>
      <c r="M321" s="209">
        <v>0</v>
      </c>
      <c r="N321" s="242">
        <v>0</v>
      </c>
      <c r="O321" s="239"/>
    </row>
    <row r="322" spans="1:15" ht="23" x14ac:dyDescent="0.35">
      <c r="A322" s="211" t="s">
        <v>752</v>
      </c>
      <c r="B322" s="211" t="s">
        <v>753</v>
      </c>
      <c r="C322" s="209">
        <v>103391</v>
      </c>
      <c r="D322" s="209">
        <v>0</v>
      </c>
      <c r="E322" s="209">
        <v>0</v>
      </c>
      <c r="F322" s="209">
        <v>103391</v>
      </c>
      <c r="G322" s="242">
        <v>-103391</v>
      </c>
      <c r="H322" s="239"/>
      <c r="I322" s="239"/>
      <c r="J322" s="210">
        <v>0</v>
      </c>
      <c r="K322" s="209">
        <v>0</v>
      </c>
      <c r="L322" s="209">
        <v>-103391</v>
      </c>
      <c r="M322" s="209">
        <v>0</v>
      </c>
      <c r="N322" s="242">
        <v>0</v>
      </c>
      <c r="O322" s="239"/>
    </row>
    <row r="323" spans="1:15" ht="23" x14ac:dyDescent="0.35">
      <c r="A323" s="211" t="s">
        <v>754</v>
      </c>
      <c r="B323" s="211" t="s">
        <v>755</v>
      </c>
      <c r="C323" s="209">
        <v>137967</v>
      </c>
      <c r="D323" s="209">
        <v>0</v>
      </c>
      <c r="E323" s="209">
        <v>0</v>
      </c>
      <c r="F323" s="209">
        <v>137967</v>
      </c>
      <c r="G323" s="242">
        <v>-137967</v>
      </c>
      <c r="H323" s="239"/>
      <c r="I323" s="239"/>
      <c r="J323" s="210">
        <v>0</v>
      </c>
      <c r="K323" s="209">
        <v>0</v>
      </c>
      <c r="L323" s="209">
        <v>-137967</v>
      </c>
      <c r="M323" s="209">
        <v>0</v>
      </c>
      <c r="N323" s="242">
        <v>0</v>
      </c>
      <c r="O323" s="239"/>
    </row>
    <row r="324" spans="1:15" ht="23" x14ac:dyDescent="0.35">
      <c r="A324" s="211" t="s">
        <v>756</v>
      </c>
      <c r="B324" s="211" t="s">
        <v>757</v>
      </c>
      <c r="C324" s="209">
        <v>52500</v>
      </c>
      <c r="D324" s="209">
        <v>0</v>
      </c>
      <c r="E324" s="209">
        <v>0</v>
      </c>
      <c r="F324" s="209">
        <v>52500</v>
      </c>
      <c r="G324" s="242">
        <v>-52500</v>
      </c>
      <c r="H324" s="239"/>
      <c r="I324" s="239"/>
      <c r="J324" s="210">
        <v>0</v>
      </c>
      <c r="K324" s="209">
        <v>0</v>
      </c>
      <c r="L324" s="209">
        <v>-52500</v>
      </c>
      <c r="M324" s="209">
        <v>0</v>
      </c>
      <c r="N324" s="242">
        <v>0</v>
      </c>
      <c r="O324" s="239"/>
    </row>
    <row r="325" spans="1:15" ht="34.5" x14ac:dyDescent="0.35">
      <c r="A325" s="211" t="s">
        <v>758</v>
      </c>
      <c r="B325" s="211" t="s">
        <v>759</v>
      </c>
      <c r="C325" s="209">
        <v>67055</v>
      </c>
      <c r="D325" s="209">
        <v>0</v>
      </c>
      <c r="E325" s="209">
        <v>0</v>
      </c>
      <c r="F325" s="209">
        <v>67055</v>
      </c>
      <c r="G325" s="242">
        <v>-67055</v>
      </c>
      <c r="H325" s="239"/>
      <c r="I325" s="239"/>
      <c r="J325" s="210">
        <v>0</v>
      </c>
      <c r="K325" s="209">
        <v>0</v>
      </c>
      <c r="L325" s="209">
        <v>-67055</v>
      </c>
      <c r="M325" s="209">
        <v>0</v>
      </c>
      <c r="N325" s="242">
        <v>0</v>
      </c>
      <c r="O325" s="239"/>
    </row>
    <row r="326" spans="1:15" ht="23" x14ac:dyDescent="0.35">
      <c r="A326" s="211" t="s">
        <v>760</v>
      </c>
      <c r="B326" s="211" t="s">
        <v>761</v>
      </c>
      <c r="C326" s="209">
        <v>70033</v>
      </c>
      <c r="D326" s="209">
        <v>0</v>
      </c>
      <c r="E326" s="209">
        <v>0</v>
      </c>
      <c r="F326" s="209">
        <v>70033</v>
      </c>
      <c r="G326" s="242">
        <v>-70033</v>
      </c>
      <c r="H326" s="239"/>
      <c r="I326" s="239"/>
      <c r="J326" s="210">
        <v>0</v>
      </c>
      <c r="K326" s="209">
        <v>0</v>
      </c>
      <c r="L326" s="209">
        <v>-70033</v>
      </c>
      <c r="M326" s="209">
        <v>0</v>
      </c>
      <c r="N326" s="242">
        <v>0</v>
      </c>
      <c r="O326" s="239"/>
    </row>
    <row r="327" spans="1:15" ht="23" x14ac:dyDescent="0.35">
      <c r="A327" s="211" t="s">
        <v>762</v>
      </c>
      <c r="B327" s="211" t="s">
        <v>763</v>
      </c>
      <c r="C327" s="209">
        <v>109999</v>
      </c>
      <c r="D327" s="209">
        <v>0</v>
      </c>
      <c r="E327" s="209">
        <v>0</v>
      </c>
      <c r="F327" s="209">
        <v>109999</v>
      </c>
      <c r="G327" s="242">
        <v>-109999</v>
      </c>
      <c r="H327" s="239"/>
      <c r="I327" s="239"/>
      <c r="J327" s="210">
        <v>0</v>
      </c>
      <c r="K327" s="209">
        <v>0</v>
      </c>
      <c r="L327" s="209">
        <v>-109999</v>
      </c>
      <c r="M327" s="209">
        <v>0</v>
      </c>
      <c r="N327" s="242">
        <v>0</v>
      </c>
      <c r="O327" s="239"/>
    </row>
    <row r="328" spans="1:15" ht="23" x14ac:dyDescent="0.35">
      <c r="A328" s="211" t="s">
        <v>764</v>
      </c>
      <c r="B328" s="211" t="s">
        <v>765</v>
      </c>
      <c r="C328" s="209">
        <v>106608</v>
      </c>
      <c r="D328" s="209">
        <v>0</v>
      </c>
      <c r="E328" s="209">
        <v>0</v>
      </c>
      <c r="F328" s="209">
        <v>106608</v>
      </c>
      <c r="G328" s="242">
        <v>-106608</v>
      </c>
      <c r="H328" s="239"/>
      <c r="I328" s="239"/>
      <c r="J328" s="210">
        <v>0</v>
      </c>
      <c r="K328" s="209">
        <v>0</v>
      </c>
      <c r="L328" s="209">
        <v>-106608</v>
      </c>
      <c r="M328" s="209">
        <v>0</v>
      </c>
      <c r="N328" s="242">
        <v>0</v>
      </c>
      <c r="O328" s="239"/>
    </row>
    <row r="329" spans="1:15" ht="23" x14ac:dyDescent="0.35">
      <c r="A329" s="211" t="s">
        <v>766</v>
      </c>
      <c r="B329" s="211" t="s">
        <v>767</v>
      </c>
      <c r="C329" s="209">
        <v>120656</v>
      </c>
      <c r="D329" s="209">
        <v>0</v>
      </c>
      <c r="E329" s="209">
        <v>0</v>
      </c>
      <c r="F329" s="209">
        <v>120656</v>
      </c>
      <c r="G329" s="242">
        <v>-120656</v>
      </c>
      <c r="H329" s="239"/>
      <c r="I329" s="239"/>
      <c r="J329" s="210">
        <v>0</v>
      </c>
      <c r="K329" s="209">
        <v>0</v>
      </c>
      <c r="L329" s="209">
        <v>-120656</v>
      </c>
      <c r="M329" s="209">
        <v>0</v>
      </c>
      <c r="N329" s="242">
        <v>0</v>
      </c>
      <c r="O329" s="239"/>
    </row>
    <row r="330" spans="1:15" ht="23" x14ac:dyDescent="0.35">
      <c r="A330" s="211" t="s">
        <v>768</v>
      </c>
      <c r="B330" s="211" t="s">
        <v>769</v>
      </c>
      <c r="C330" s="209">
        <v>25288</v>
      </c>
      <c r="D330" s="209">
        <v>0</v>
      </c>
      <c r="E330" s="209">
        <v>0</v>
      </c>
      <c r="F330" s="209">
        <v>25288</v>
      </c>
      <c r="G330" s="242">
        <v>-25288</v>
      </c>
      <c r="H330" s="239"/>
      <c r="I330" s="239"/>
      <c r="J330" s="210">
        <v>0</v>
      </c>
      <c r="K330" s="209">
        <v>0</v>
      </c>
      <c r="L330" s="209">
        <v>-25288</v>
      </c>
      <c r="M330" s="209">
        <v>0</v>
      </c>
      <c r="N330" s="242">
        <v>0</v>
      </c>
      <c r="O330" s="239"/>
    </row>
    <row r="331" spans="1:15" ht="23" x14ac:dyDescent="0.35">
      <c r="A331" s="211" t="s">
        <v>770</v>
      </c>
      <c r="B331" s="211" t="s">
        <v>771</v>
      </c>
      <c r="C331" s="209">
        <v>234780</v>
      </c>
      <c r="D331" s="209">
        <v>0</v>
      </c>
      <c r="E331" s="209">
        <v>0</v>
      </c>
      <c r="F331" s="209">
        <v>234780</v>
      </c>
      <c r="G331" s="242">
        <v>-234780</v>
      </c>
      <c r="H331" s="239"/>
      <c r="I331" s="239"/>
      <c r="J331" s="210">
        <v>0</v>
      </c>
      <c r="K331" s="209">
        <v>0</v>
      </c>
      <c r="L331" s="209">
        <v>-234780</v>
      </c>
      <c r="M331" s="209">
        <v>0</v>
      </c>
      <c r="N331" s="242">
        <v>0</v>
      </c>
      <c r="O331" s="239"/>
    </row>
    <row r="332" spans="1:15" ht="23" x14ac:dyDescent="0.35">
      <c r="A332" s="211" t="s">
        <v>772</v>
      </c>
      <c r="B332" s="211" t="s">
        <v>773</v>
      </c>
      <c r="C332" s="209">
        <v>68257</v>
      </c>
      <c r="D332" s="209">
        <v>0</v>
      </c>
      <c r="E332" s="209">
        <v>0</v>
      </c>
      <c r="F332" s="209">
        <v>68257</v>
      </c>
      <c r="G332" s="242">
        <v>-68257</v>
      </c>
      <c r="H332" s="239"/>
      <c r="I332" s="239"/>
      <c r="J332" s="210">
        <v>0</v>
      </c>
      <c r="K332" s="209">
        <v>0</v>
      </c>
      <c r="L332" s="209">
        <v>-68257</v>
      </c>
      <c r="M332" s="209">
        <v>0</v>
      </c>
      <c r="N332" s="242">
        <v>0</v>
      </c>
      <c r="O332" s="239"/>
    </row>
    <row r="333" spans="1:15" ht="23" x14ac:dyDescent="0.35">
      <c r="A333" s="211" t="s">
        <v>774</v>
      </c>
      <c r="B333" s="211" t="s">
        <v>775</v>
      </c>
      <c r="C333" s="209">
        <v>265482</v>
      </c>
      <c r="D333" s="209">
        <v>0</v>
      </c>
      <c r="E333" s="209">
        <v>0</v>
      </c>
      <c r="F333" s="209">
        <v>265482</v>
      </c>
      <c r="G333" s="242">
        <v>-265482</v>
      </c>
      <c r="H333" s="239"/>
      <c r="I333" s="239"/>
      <c r="J333" s="210">
        <v>0</v>
      </c>
      <c r="K333" s="209">
        <v>0</v>
      </c>
      <c r="L333" s="209">
        <v>-265482</v>
      </c>
      <c r="M333" s="209">
        <v>0</v>
      </c>
      <c r="N333" s="242">
        <v>0</v>
      </c>
      <c r="O333" s="239"/>
    </row>
    <row r="334" spans="1:15" x14ac:dyDescent="0.35">
      <c r="A334" s="211" t="s">
        <v>776</v>
      </c>
      <c r="B334" s="211" t="s">
        <v>777</v>
      </c>
      <c r="C334" s="209">
        <v>313654</v>
      </c>
      <c r="D334" s="209">
        <v>0</v>
      </c>
      <c r="E334" s="209">
        <v>0</v>
      </c>
      <c r="F334" s="209">
        <v>313654</v>
      </c>
      <c r="G334" s="242">
        <v>-313654</v>
      </c>
      <c r="H334" s="239"/>
      <c r="I334" s="239"/>
      <c r="J334" s="210">
        <v>0</v>
      </c>
      <c r="K334" s="209">
        <v>0</v>
      </c>
      <c r="L334" s="209">
        <v>-313654</v>
      </c>
      <c r="M334" s="209">
        <v>0</v>
      </c>
      <c r="N334" s="242">
        <v>0</v>
      </c>
      <c r="O334" s="239"/>
    </row>
    <row r="335" spans="1:15" x14ac:dyDescent="0.35">
      <c r="A335" s="211" t="s">
        <v>778</v>
      </c>
      <c r="B335" s="211" t="s">
        <v>779</v>
      </c>
      <c r="C335" s="209">
        <v>1244337</v>
      </c>
      <c r="D335" s="209">
        <v>0</v>
      </c>
      <c r="E335" s="209">
        <v>0</v>
      </c>
      <c r="F335" s="209">
        <v>1244337</v>
      </c>
      <c r="G335" s="242">
        <v>-1244337</v>
      </c>
      <c r="H335" s="239"/>
      <c r="I335" s="239"/>
      <c r="J335" s="210">
        <v>0</v>
      </c>
      <c r="K335" s="209">
        <v>0</v>
      </c>
      <c r="L335" s="209">
        <v>-1244337</v>
      </c>
      <c r="M335" s="209">
        <v>0</v>
      </c>
      <c r="N335" s="242">
        <v>0</v>
      </c>
      <c r="O335" s="239"/>
    </row>
    <row r="336" spans="1:15" ht="23" x14ac:dyDescent="0.35">
      <c r="A336" s="211" t="s">
        <v>780</v>
      </c>
      <c r="B336" s="211" t="s">
        <v>781</v>
      </c>
      <c r="C336" s="209">
        <v>77000</v>
      </c>
      <c r="D336" s="209">
        <v>0</v>
      </c>
      <c r="E336" s="209">
        <v>0</v>
      </c>
      <c r="F336" s="209">
        <v>77000</v>
      </c>
      <c r="G336" s="242">
        <v>-77000</v>
      </c>
      <c r="H336" s="239"/>
      <c r="I336" s="239"/>
      <c r="J336" s="210">
        <v>0</v>
      </c>
      <c r="K336" s="209">
        <v>0</v>
      </c>
      <c r="L336" s="209">
        <v>-77000</v>
      </c>
      <c r="M336" s="209">
        <v>0</v>
      </c>
      <c r="N336" s="242">
        <v>0</v>
      </c>
      <c r="O336" s="239"/>
    </row>
    <row r="337" spans="1:15" x14ac:dyDescent="0.35">
      <c r="A337" s="211" t="s">
        <v>782</v>
      </c>
      <c r="B337" s="211" t="s">
        <v>783</v>
      </c>
      <c r="C337" s="209">
        <v>14860</v>
      </c>
      <c r="D337" s="209">
        <v>0</v>
      </c>
      <c r="E337" s="209">
        <v>0</v>
      </c>
      <c r="F337" s="209">
        <v>14860</v>
      </c>
      <c r="G337" s="242">
        <v>-14860</v>
      </c>
      <c r="H337" s="239"/>
      <c r="I337" s="239"/>
      <c r="J337" s="210">
        <v>0</v>
      </c>
      <c r="K337" s="209">
        <v>0</v>
      </c>
      <c r="L337" s="209">
        <v>-14860</v>
      </c>
      <c r="M337" s="209">
        <v>0</v>
      </c>
      <c r="N337" s="242">
        <v>0</v>
      </c>
      <c r="O337" s="239"/>
    </row>
    <row r="338" spans="1:15" x14ac:dyDescent="0.35">
      <c r="A338" s="211" t="s">
        <v>784</v>
      </c>
      <c r="B338" s="211" t="s">
        <v>785</v>
      </c>
      <c r="C338" s="209">
        <v>14912</v>
      </c>
      <c r="D338" s="209">
        <v>0</v>
      </c>
      <c r="E338" s="209">
        <v>0</v>
      </c>
      <c r="F338" s="209">
        <v>14912</v>
      </c>
      <c r="G338" s="242">
        <v>-14912</v>
      </c>
      <c r="H338" s="239"/>
      <c r="I338" s="239"/>
      <c r="J338" s="210">
        <v>0</v>
      </c>
      <c r="K338" s="209">
        <v>0</v>
      </c>
      <c r="L338" s="209">
        <v>-14912</v>
      </c>
      <c r="M338" s="209">
        <v>0</v>
      </c>
      <c r="N338" s="242">
        <v>0</v>
      </c>
      <c r="O338" s="239"/>
    </row>
    <row r="339" spans="1:15" x14ac:dyDescent="0.35">
      <c r="A339" s="211" t="s">
        <v>786</v>
      </c>
      <c r="B339" s="211" t="s">
        <v>787</v>
      </c>
      <c r="C339" s="209">
        <v>14860</v>
      </c>
      <c r="D339" s="209">
        <v>0</v>
      </c>
      <c r="E339" s="209">
        <v>0</v>
      </c>
      <c r="F339" s="209">
        <v>14860</v>
      </c>
      <c r="G339" s="242">
        <v>-14860</v>
      </c>
      <c r="H339" s="239"/>
      <c r="I339" s="239"/>
      <c r="J339" s="210">
        <v>0</v>
      </c>
      <c r="K339" s="209">
        <v>0</v>
      </c>
      <c r="L339" s="209">
        <v>-14860</v>
      </c>
      <c r="M339" s="209">
        <v>0</v>
      </c>
      <c r="N339" s="242">
        <v>0</v>
      </c>
      <c r="O339" s="239"/>
    </row>
    <row r="340" spans="1:15" x14ac:dyDescent="0.35">
      <c r="A340" s="211" t="s">
        <v>788</v>
      </c>
      <c r="B340" s="211" t="s">
        <v>789</v>
      </c>
      <c r="C340" s="209">
        <v>14911</v>
      </c>
      <c r="D340" s="209">
        <v>0</v>
      </c>
      <c r="E340" s="209">
        <v>0</v>
      </c>
      <c r="F340" s="209">
        <v>14911</v>
      </c>
      <c r="G340" s="242">
        <v>-14911</v>
      </c>
      <c r="H340" s="239"/>
      <c r="I340" s="239"/>
      <c r="J340" s="210">
        <v>0</v>
      </c>
      <c r="K340" s="209">
        <v>0</v>
      </c>
      <c r="L340" s="209">
        <v>-14911</v>
      </c>
      <c r="M340" s="209">
        <v>0</v>
      </c>
      <c r="N340" s="242">
        <v>0</v>
      </c>
      <c r="O340" s="239"/>
    </row>
    <row r="341" spans="1:15" ht="23" x14ac:dyDescent="0.35">
      <c r="A341" s="211" t="s">
        <v>790</v>
      </c>
      <c r="B341" s="211" t="s">
        <v>791</v>
      </c>
      <c r="C341" s="209">
        <v>1059450</v>
      </c>
      <c r="D341" s="209">
        <v>0</v>
      </c>
      <c r="E341" s="209">
        <v>0</v>
      </c>
      <c r="F341" s="209">
        <v>1059450</v>
      </c>
      <c r="G341" s="242">
        <v>-924469.24</v>
      </c>
      <c r="H341" s="239"/>
      <c r="I341" s="239"/>
      <c r="J341" s="210">
        <v>-70425</v>
      </c>
      <c r="K341" s="209">
        <v>0</v>
      </c>
      <c r="L341" s="209">
        <v>-994894.24</v>
      </c>
      <c r="M341" s="209">
        <v>134980.76</v>
      </c>
      <c r="N341" s="242">
        <v>64555.76</v>
      </c>
      <c r="O341" s="239"/>
    </row>
    <row r="342" spans="1:15" ht="23" x14ac:dyDescent="0.35">
      <c r="A342" s="211" t="s">
        <v>792</v>
      </c>
      <c r="B342" s="211" t="s">
        <v>793</v>
      </c>
      <c r="C342" s="209">
        <v>264863</v>
      </c>
      <c r="D342" s="209">
        <v>0</v>
      </c>
      <c r="E342" s="209">
        <v>0</v>
      </c>
      <c r="F342" s="209">
        <v>264863</v>
      </c>
      <c r="G342" s="242">
        <v>-173248.04</v>
      </c>
      <c r="H342" s="239"/>
      <c r="I342" s="239"/>
      <c r="J342" s="210">
        <v>-13245</v>
      </c>
      <c r="K342" s="209">
        <v>0</v>
      </c>
      <c r="L342" s="209">
        <v>-186493.04</v>
      </c>
      <c r="M342" s="209">
        <v>91614.96</v>
      </c>
      <c r="N342" s="242">
        <v>78369.960000000006</v>
      </c>
      <c r="O342" s="239"/>
    </row>
    <row r="343" spans="1:15" ht="34.5" x14ac:dyDescent="0.35">
      <c r="A343" s="211" t="s">
        <v>794</v>
      </c>
      <c r="B343" s="211" t="s">
        <v>795</v>
      </c>
      <c r="C343" s="209">
        <v>1292479</v>
      </c>
      <c r="D343" s="209">
        <v>0</v>
      </c>
      <c r="E343" s="209">
        <v>0</v>
      </c>
      <c r="F343" s="209">
        <v>1292479</v>
      </c>
      <c r="G343" s="242">
        <v>-1292479</v>
      </c>
      <c r="H343" s="239"/>
      <c r="I343" s="239"/>
      <c r="J343" s="210">
        <v>0</v>
      </c>
      <c r="K343" s="209">
        <v>0</v>
      </c>
      <c r="L343" s="209">
        <v>-1292479</v>
      </c>
      <c r="M343" s="209">
        <v>0</v>
      </c>
      <c r="N343" s="242">
        <v>0</v>
      </c>
      <c r="O343" s="239"/>
    </row>
    <row r="344" spans="1:15" ht="23" x14ac:dyDescent="0.35">
      <c r="A344" s="211" t="s">
        <v>796</v>
      </c>
      <c r="B344" s="211" t="s">
        <v>797</v>
      </c>
      <c r="C344" s="209">
        <v>1146161</v>
      </c>
      <c r="D344" s="209">
        <v>0</v>
      </c>
      <c r="E344" s="209">
        <v>0</v>
      </c>
      <c r="F344" s="209">
        <v>1146161</v>
      </c>
      <c r="G344" s="242">
        <v>-1146160.74</v>
      </c>
      <c r="H344" s="239"/>
      <c r="I344" s="239"/>
      <c r="J344" s="210">
        <v>0</v>
      </c>
      <c r="K344" s="209">
        <v>0</v>
      </c>
      <c r="L344" s="209">
        <v>-1146160.74</v>
      </c>
      <c r="M344" s="209">
        <v>0.26</v>
      </c>
      <c r="N344" s="242">
        <v>0.26</v>
      </c>
      <c r="O344" s="239"/>
    </row>
    <row r="345" spans="1:15" ht="23" x14ac:dyDescent="0.35">
      <c r="A345" s="211" t="s">
        <v>798</v>
      </c>
      <c r="B345" s="211" t="s">
        <v>799</v>
      </c>
      <c r="C345" s="209">
        <v>1282891</v>
      </c>
      <c r="D345" s="209">
        <v>0</v>
      </c>
      <c r="E345" s="209">
        <v>0</v>
      </c>
      <c r="F345" s="209">
        <v>1282891</v>
      </c>
      <c r="G345" s="242">
        <v>-1282891</v>
      </c>
      <c r="H345" s="239"/>
      <c r="I345" s="239"/>
      <c r="J345" s="210">
        <v>0</v>
      </c>
      <c r="K345" s="209">
        <v>0</v>
      </c>
      <c r="L345" s="209">
        <v>-1282891</v>
      </c>
      <c r="M345" s="209">
        <v>0</v>
      </c>
      <c r="N345" s="242">
        <v>0</v>
      </c>
      <c r="O345" s="239"/>
    </row>
    <row r="346" spans="1:15" ht="34.5" x14ac:dyDescent="0.35">
      <c r="A346" s="211" t="s">
        <v>800</v>
      </c>
      <c r="B346" s="211" t="s">
        <v>801</v>
      </c>
      <c r="C346" s="209">
        <v>263157</v>
      </c>
      <c r="D346" s="209">
        <v>0</v>
      </c>
      <c r="E346" s="209">
        <v>0</v>
      </c>
      <c r="F346" s="209">
        <v>263157</v>
      </c>
      <c r="G346" s="242">
        <v>-263157</v>
      </c>
      <c r="H346" s="239"/>
      <c r="I346" s="239"/>
      <c r="J346" s="210">
        <v>0</v>
      </c>
      <c r="K346" s="209">
        <v>0</v>
      </c>
      <c r="L346" s="209">
        <v>-263157</v>
      </c>
      <c r="M346" s="209">
        <v>0</v>
      </c>
      <c r="N346" s="242">
        <v>0</v>
      </c>
      <c r="O346" s="239"/>
    </row>
    <row r="347" spans="1:15" ht="23" x14ac:dyDescent="0.35">
      <c r="A347" s="211" t="s">
        <v>802</v>
      </c>
      <c r="B347" s="211" t="s">
        <v>803</v>
      </c>
      <c r="C347" s="209">
        <v>1743416</v>
      </c>
      <c r="D347" s="209">
        <v>0</v>
      </c>
      <c r="E347" s="209">
        <v>0</v>
      </c>
      <c r="F347" s="209">
        <v>1743416</v>
      </c>
      <c r="G347" s="242">
        <v>-1743416</v>
      </c>
      <c r="H347" s="239"/>
      <c r="I347" s="239"/>
      <c r="J347" s="210">
        <v>0</v>
      </c>
      <c r="K347" s="209">
        <v>0</v>
      </c>
      <c r="L347" s="209">
        <v>-1743416</v>
      </c>
      <c r="M347" s="209">
        <v>0</v>
      </c>
      <c r="N347" s="242">
        <v>0</v>
      </c>
      <c r="O347" s="239"/>
    </row>
    <row r="348" spans="1:15" ht="23" x14ac:dyDescent="0.35">
      <c r="A348" s="211" t="s">
        <v>804</v>
      </c>
      <c r="B348" s="211" t="s">
        <v>805</v>
      </c>
      <c r="C348" s="209">
        <v>153697</v>
      </c>
      <c r="D348" s="209">
        <v>0</v>
      </c>
      <c r="E348" s="209">
        <v>0</v>
      </c>
      <c r="F348" s="209">
        <v>153697</v>
      </c>
      <c r="G348" s="242">
        <v>-153697</v>
      </c>
      <c r="H348" s="239"/>
      <c r="I348" s="239"/>
      <c r="J348" s="210">
        <v>0</v>
      </c>
      <c r="K348" s="209">
        <v>0</v>
      </c>
      <c r="L348" s="209">
        <v>-153697</v>
      </c>
      <c r="M348" s="209">
        <v>0</v>
      </c>
      <c r="N348" s="242">
        <v>0</v>
      </c>
      <c r="O348" s="239"/>
    </row>
    <row r="349" spans="1:15" ht="23" x14ac:dyDescent="0.35">
      <c r="A349" s="211" t="s">
        <v>806</v>
      </c>
      <c r="B349" s="211" t="s">
        <v>807</v>
      </c>
      <c r="C349" s="209">
        <v>255527</v>
      </c>
      <c r="D349" s="209">
        <v>0</v>
      </c>
      <c r="E349" s="209">
        <v>0</v>
      </c>
      <c r="F349" s="209">
        <v>255527</v>
      </c>
      <c r="G349" s="242">
        <v>-255527</v>
      </c>
      <c r="H349" s="239"/>
      <c r="I349" s="239"/>
      <c r="J349" s="210">
        <v>0</v>
      </c>
      <c r="K349" s="209">
        <v>0</v>
      </c>
      <c r="L349" s="209">
        <v>-255527</v>
      </c>
      <c r="M349" s="209">
        <v>0</v>
      </c>
      <c r="N349" s="242">
        <v>0</v>
      </c>
      <c r="O349" s="239"/>
    </row>
    <row r="350" spans="1:15" ht="23" x14ac:dyDescent="0.35">
      <c r="A350" s="211" t="s">
        <v>808</v>
      </c>
      <c r="B350" s="211" t="s">
        <v>809</v>
      </c>
      <c r="C350" s="209">
        <v>668183</v>
      </c>
      <c r="D350" s="209">
        <v>0</v>
      </c>
      <c r="E350" s="209">
        <v>0</v>
      </c>
      <c r="F350" s="209">
        <v>668183</v>
      </c>
      <c r="G350" s="242">
        <v>-668183</v>
      </c>
      <c r="H350" s="239"/>
      <c r="I350" s="239"/>
      <c r="J350" s="210">
        <v>0</v>
      </c>
      <c r="K350" s="209">
        <v>0</v>
      </c>
      <c r="L350" s="209">
        <v>-668183</v>
      </c>
      <c r="M350" s="209">
        <v>0</v>
      </c>
      <c r="N350" s="242">
        <v>0</v>
      </c>
      <c r="O350" s="239"/>
    </row>
    <row r="351" spans="1:15" ht="23" x14ac:dyDescent="0.35">
      <c r="A351" s="211" t="s">
        <v>810</v>
      </c>
      <c r="B351" s="211" t="s">
        <v>811</v>
      </c>
      <c r="C351" s="209">
        <v>777450</v>
      </c>
      <c r="D351" s="209">
        <v>0</v>
      </c>
      <c r="E351" s="209">
        <v>0</v>
      </c>
      <c r="F351" s="209">
        <v>777450</v>
      </c>
      <c r="G351" s="242">
        <v>-777450</v>
      </c>
      <c r="H351" s="239"/>
      <c r="I351" s="239"/>
      <c r="J351" s="210">
        <v>0</v>
      </c>
      <c r="K351" s="209">
        <v>0</v>
      </c>
      <c r="L351" s="209">
        <v>-777450</v>
      </c>
      <c r="M351" s="209">
        <v>0</v>
      </c>
      <c r="N351" s="242">
        <v>0</v>
      </c>
      <c r="O351" s="239"/>
    </row>
    <row r="352" spans="1:15" ht="23" x14ac:dyDescent="0.35">
      <c r="A352" s="211" t="s">
        <v>812</v>
      </c>
      <c r="B352" s="211" t="s">
        <v>813</v>
      </c>
      <c r="C352" s="209">
        <v>52059</v>
      </c>
      <c r="D352" s="209">
        <v>0</v>
      </c>
      <c r="E352" s="209">
        <v>0</v>
      </c>
      <c r="F352" s="209">
        <v>52059</v>
      </c>
      <c r="G352" s="242">
        <v>-52059</v>
      </c>
      <c r="H352" s="239"/>
      <c r="I352" s="239"/>
      <c r="J352" s="210">
        <v>0</v>
      </c>
      <c r="K352" s="209">
        <v>0</v>
      </c>
      <c r="L352" s="209">
        <v>-52059</v>
      </c>
      <c r="M352" s="209">
        <v>0</v>
      </c>
      <c r="N352" s="242">
        <v>0</v>
      </c>
      <c r="O352" s="239"/>
    </row>
    <row r="353" spans="1:15" ht="23" x14ac:dyDescent="0.35">
      <c r="A353" s="211" t="s">
        <v>814</v>
      </c>
      <c r="B353" s="211" t="s">
        <v>815</v>
      </c>
      <c r="C353" s="209">
        <v>949602</v>
      </c>
      <c r="D353" s="209">
        <v>0</v>
      </c>
      <c r="E353" s="209">
        <v>0</v>
      </c>
      <c r="F353" s="209">
        <v>949602</v>
      </c>
      <c r="G353" s="242">
        <v>-949602</v>
      </c>
      <c r="H353" s="239"/>
      <c r="I353" s="239"/>
      <c r="J353" s="210">
        <v>0</v>
      </c>
      <c r="K353" s="209">
        <v>0</v>
      </c>
      <c r="L353" s="209">
        <v>-949602</v>
      </c>
      <c r="M353" s="209">
        <v>0</v>
      </c>
      <c r="N353" s="242">
        <v>0</v>
      </c>
      <c r="O353" s="239"/>
    </row>
    <row r="354" spans="1:15" ht="23" x14ac:dyDescent="0.35">
      <c r="A354" s="211" t="s">
        <v>816</v>
      </c>
      <c r="B354" s="211" t="s">
        <v>817</v>
      </c>
      <c r="C354" s="209">
        <v>426633</v>
      </c>
      <c r="D354" s="209">
        <v>0</v>
      </c>
      <c r="E354" s="209">
        <v>0</v>
      </c>
      <c r="F354" s="209">
        <v>426633</v>
      </c>
      <c r="G354" s="242">
        <v>-300365.13</v>
      </c>
      <c r="H354" s="239"/>
      <c r="I354" s="239"/>
      <c r="J354" s="210">
        <v>-21045</v>
      </c>
      <c r="K354" s="209">
        <v>0</v>
      </c>
      <c r="L354" s="209">
        <v>-321410.13</v>
      </c>
      <c r="M354" s="209">
        <v>126267.87</v>
      </c>
      <c r="N354" s="242">
        <v>105222.87</v>
      </c>
      <c r="O354" s="239"/>
    </row>
    <row r="355" spans="1:15" ht="23" x14ac:dyDescent="0.35">
      <c r="A355" s="211" t="s">
        <v>818</v>
      </c>
      <c r="B355" s="211" t="s">
        <v>819</v>
      </c>
      <c r="C355" s="209">
        <v>84581.25</v>
      </c>
      <c r="D355" s="209">
        <v>0</v>
      </c>
      <c r="E355" s="209">
        <v>0</v>
      </c>
      <c r="F355" s="209">
        <v>84581.25</v>
      </c>
      <c r="G355" s="242">
        <v>-84581.25</v>
      </c>
      <c r="H355" s="239"/>
      <c r="I355" s="239"/>
      <c r="J355" s="210">
        <v>0</v>
      </c>
      <c r="K355" s="209">
        <v>0</v>
      </c>
      <c r="L355" s="209">
        <v>-84581.25</v>
      </c>
      <c r="M355" s="209">
        <v>0</v>
      </c>
      <c r="N355" s="242">
        <v>0</v>
      </c>
      <c r="O355" s="239"/>
    </row>
    <row r="356" spans="1:15" ht="23" x14ac:dyDescent="0.35">
      <c r="A356" s="211" t="s">
        <v>820</v>
      </c>
      <c r="B356" s="211" t="s">
        <v>821</v>
      </c>
      <c r="C356" s="209">
        <v>38836</v>
      </c>
      <c r="D356" s="209">
        <v>0</v>
      </c>
      <c r="E356" s="209">
        <v>0</v>
      </c>
      <c r="F356" s="209">
        <v>38836</v>
      </c>
      <c r="G356" s="242">
        <v>-38836</v>
      </c>
      <c r="H356" s="239"/>
      <c r="I356" s="239"/>
      <c r="J356" s="210">
        <v>0</v>
      </c>
      <c r="K356" s="209">
        <v>0</v>
      </c>
      <c r="L356" s="209">
        <v>-38836</v>
      </c>
      <c r="M356" s="209">
        <v>0</v>
      </c>
      <c r="N356" s="242">
        <v>0</v>
      </c>
      <c r="O356" s="239"/>
    </row>
    <row r="357" spans="1:15" ht="23" x14ac:dyDescent="0.35">
      <c r="A357" s="211" t="s">
        <v>822</v>
      </c>
      <c r="B357" s="211" t="s">
        <v>823</v>
      </c>
      <c r="C357" s="209">
        <v>80000</v>
      </c>
      <c r="D357" s="209">
        <v>0</v>
      </c>
      <c r="E357" s="209">
        <v>0</v>
      </c>
      <c r="F357" s="209">
        <v>80000</v>
      </c>
      <c r="G357" s="242">
        <v>-80000</v>
      </c>
      <c r="H357" s="239"/>
      <c r="I357" s="239"/>
      <c r="J357" s="210">
        <v>0</v>
      </c>
      <c r="K357" s="209">
        <v>0</v>
      </c>
      <c r="L357" s="209">
        <v>-80000</v>
      </c>
      <c r="M357" s="209">
        <v>0</v>
      </c>
      <c r="N357" s="242">
        <v>0</v>
      </c>
      <c r="O357" s="239"/>
    </row>
    <row r="358" spans="1:15" x14ac:dyDescent="0.35">
      <c r="A358" s="211" t="s">
        <v>824</v>
      </c>
      <c r="B358" s="211" t="s">
        <v>825</v>
      </c>
      <c r="C358" s="209">
        <v>77000</v>
      </c>
      <c r="D358" s="209">
        <v>0</v>
      </c>
      <c r="E358" s="209">
        <v>0</v>
      </c>
      <c r="F358" s="209">
        <v>77000</v>
      </c>
      <c r="G358" s="242">
        <v>-77000</v>
      </c>
      <c r="H358" s="239"/>
      <c r="I358" s="239"/>
      <c r="J358" s="210">
        <v>0</v>
      </c>
      <c r="K358" s="209">
        <v>0</v>
      </c>
      <c r="L358" s="209">
        <v>-77000</v>
      </c>
      <c r="M358" s="209">
        <v>0</v>
      </c>
      <c r="N358" s="242">
        <v>0</v>
      </c>
      <c r="O358" s="239"/>
    </row>
    <row r="359" spans="1:15" ht="23" x14ac:dyDescent="0.35">
      <c r="A359" s="211" t="s">
        <v>826</v>
      </c>
      <c r="B359" s="211" t="s">
        <v>827</v>
      </c>
      <c r="C359" s="209">
        <v>36712</v>
      </c>
      <c r="D359" s="209">
        <v>0</v>
      </c>
      <c r="E359" s="209">
        <v>0</v>
      </c>
      <c r="F359" s="209">
        <v>36712</v>
      </c>
      <c r="G359" s="242">
        <v>-36712</v>
      </c>
      <c r="H359" s="239"/>
      <c r="I359" s="239"/>
      <c r="J359" s="210">
        <v>0</v>
      </c>
      <c r="K359" s="209">
        <v>0</v>
      </c>
      <c r="L359" s="209">
        <v>-36712</v>
      </c>
      <c r="M359" s="209">
        <v>0</v>
      </c>
      <c r="N359" s="242">
        <v>0</v>
      </c>
      <c r="O359" s="239"/>
    </row>
    <row r="360" spans="1:15" ht="23" x14ac:dyDescent="0.35">
      <c r="A360" s="211" t="s">
        <v>828</v>
      </c>
      <c r="B360" s="211" t="s">
        <v>829</v>
      </c>
      <c r="C360" s="209">
        <v>62500</v>
      </c>
      <c r="D360" s="209">
        <v>0</v>
      </c>
      <c r="E360" s="209">
        <v>0</v>
      </c>
      <c r="F360" s="209">
        <v>62500</v>
      </c>
      <c r="G360" s="242">
        <v>-62500</v>
      </c>
      <c r="H360" s="239"/>
      <c r="I360" s="239"/>
      <c r="J360" s="210">
        <v>0</v>
      </c>
      <c r="K360" s="209">
        <v>0</v>
      </c>
      <c r="L360" s="209">
        <v>-62500</v>
      </c>
      <c r="M360" s="209">
        <v>0</v>
      </c>
      <c r="N360" s="242">
        <v>0</v>
      </c>
      <c r="O360" s="239"/>
    </row>
    <row r="361" spans="1:15" x14ac:dyDescent="0.35">
      <c r="A361" s="211" t="s">
        <v>830</v>
      </c>
      <c r="B361" s="211" t="s">
        <v>831</v>
      </c>
      <c r="C361" s="209">
        <v>425592</v>
      </c>
      <c r="D361" s="209">
        <v>0</v>
      </c>
      <c r="E361" s="209">
        <v>0</v>
      </c>
      <c r="F361" s="209">
        <v>425592</v>
      </c>
      <c r="G361" s="242">
        <v>-425591.8</v>
      </c>
      <c r="H361" s="239"/>
      <c r="I361" s="239"/>
      <c r="J361" s="210">
        <v>0</v>
      </c>
      <c r="K361" s="209">
        <v>0</v>
      </c>
      <c r="L361" s="209">
        <v>-425591.8</v>
      </c>
      <c r="M361" s="209">
        <v>0.2</v>
      </c>
      <c r="N361" s="242">
        <v>0.2</v>
      </c>
      <c r="O361" s="239"/>
    </row>
    <row r="362" spans="1:15" ht="23" x14ac:dyDescent="0.35">
      <c r="A362" s="211" t="s">
        <v>832</v>
      </c>
      <c r="B362" s="211" t="s">
        <v>833</v>
      </c>
      <c r="C362" s="209">
        <v>24000</v>
      </c>
      <c r="D362" s="209">
        <v>0</v>
      </c>
      <c r="E362" s="209">
        <v>0</v>
      </c>
      <c r="F362" s="209">
        <v>24000</v>
      </c>
      <c r="G362" s="242">
        <v>-24000</v>
      </c>
      <c r="H362" s="239"/>
      <c r="I362" s="239"/>
      <c r="J362" s="210">
        <v>0</v>
      </c>
      <c r="K362" s="209">
        <v>0</v>
      </c>
      <c r="L362" s="209">
        <v>-24000</v>
      </c>
      <c r="M362" s="209">
        <v>0</v>
      </c>
      <c r="N362" s="242">
        <v>0</v>
      </c>
      <c r="O362" s="239"/>
    </row>
    <row r="363" spans="1:15" ht="23" x14ac:dyDescent="0.35">
      <c r="A363" s="211" t="s">
        <v>834</v>
      </c>
      <c r="B363" s="211" t="s">
        <v>835</v>
      </c>
      <c r="C363" s="209">
        <v>30000</v>
      </c>
      <c r="D363" s="209">
        <v>0</v>
      </c>
      <c r="E363" s="209">
        <v>0</v>
      </c>
      <c r="F363" s="209">
        <v>30000</v>
      </c>
      <c r="G363" s="242">
        <v>-30000</v>
      </c>
      <c r="H363" s="239"/>
      <c r="I363" s="239"/>
      <c r="J363" s="210">
        <v>0</v>
      </c>
      <c r="K363" s="209">
        <v>0</v>
      </c>
      <c r="L363" s="209">
        <v>-30000</v>
      </c>
      <c r="M363" s="209">
        <v>0</v>
      </c>
      <c r="N363" s="242">
        <v>0</v>
      </c>
      <c r="O363" s="239"/>
    </row>
    <row r="364" spans="1:15" ht="23" x14ac:dyDescent="0.35">
      <c r="A364" s="211" t="s">
        <v>836</v>
      </c>
      <c r="B364" s="211" t="s">
        <v>837</v>
      </c>
      <c r="C364" s="209">
        <v>62350.5</v>
      </c>
      <c r="D364" s="209">
        <v>0</v>
      </c>
      <c r="E364" s="209">
        <v>0</v>
      </c>
      <c r="F364" s="209">
        <v>62350.5</v>
      </c>
      <c r="G364" s="242">
        <v>-62350.5</v>
      </c>
      <c r="H364" s="239"/>
      <c r="I364" s="239"/>
      <c r="J364" s="210">
        <v>0</v>
      </c>
      <c r="K364" s="209">
        <v>0</v>
      </c>
      <c r="L364" s="209">
        <v>-62350.5</v>
      </c>
      <c r="M364" s="209">
        <v>0</v>
      </c>
      <c r="N364" s="242">
        <v>0</v>
      </c>
      <c r="O364" s="239"/>
    </row>
    <row r="365" spans="1:15" ht="23" x14ac:dyDescent="0.35">
      <c r="A365" s="211" t="s">
        <v>838</v>
      </c>
      <c r="B365" s="211" t="s">
        <v>839</v>
      </c>
      <c r="C365" s="209">
        <v>3722130</v>
      </c>
      <c r="D365" s="209">
        <v>0</v>
      </c>
      <c r="E365" s="209">
        <v>0</v>
      </c>
      <c r="F365" s="209">
        <v>3722130</v>
      </c>
      <c r="G365" s="242">
        <v>-3060418.5</v>
      </c>
      <c r="H365" s="239"/>
      <c r="I365" s="239"/>
      <c r="J365" s="210">
        <v>-248142</v>
      </c>
      <c r="K365" s="209">
        <v>0</v>
      </c>
      <c r="L365" s="209">
        <v>-3308560.5</v>
      </c>
      <c r="M365" s="209">
        <v>661711.5</v>
      </c>
      <c r="N365" s="242">
        <v>413569.5</v>
      </c>
      <c r="O365" s="239"/>
    </row>
    <row r="366" spans="1:15" ht="23" x14ac:dyDescent="0.35">
      <c r="A366" s="211" t="s">
        <v>840</v>
      </c>
      <c r="B366" s="211" t="s">
        <v>841</v>
      </c>
      <c r="C366" s="209">
        <v>1953101</v>
      </c>
      <c r="D366" s="209">
        <v>0</v>
      </c>
      <c r="E366" s="209">
        <v>0</v>
      </c>
      <c r="F366" s="209">
        <v>1953101</v>
      </c>
      <c r="G366" s="242">
        <v>-1605884.81</v>
      </c>
      <c r="H366" s="239"/>
      <c r="I366" s="239"/>
      <c r="J366" s="210">
        <v>-130206</v>
      </c>
      <c r="K366" s="209">
        <v>0</v>
      </c>
      <c r="L366" s="209">
        <v>-1736090.81</v>
      </c>
      <c r="M366" s="209">
        <v>347216.19</v>
      </c>
      <c r="N366" s="242">
        <v>217010.19</v>
      </c>
      <c r="O366" s="239"/>
    </row>
    <row r="367" spans="1:15" ht="23" x14ac:dyDescent="0.35">
      <c r="A367" s="211" t="s">
        <v>842</v>
      </c>
      <c r="B367" s="211" t="s">
        <v>843</v>
      </c>
      <c r="C367" s="209">
        <v>897972</v>
      </c>
      <c r="D367" s="209">
        <v>0</v>
      </c>
      <c r="E367" s="209">
        <v>0</v>
      </c>
      <c r="F367" s="209">
        <v>897972</v>
      </c>
      <c r="G367" s="242">
        <v>-738335.15</v>
      </c>
      <c r="H367" s="239"/>
      <c r="I367" s="239"/>
      <c r="J367" s="210">
        <v>-59864</v>
      </c>
      <c r="K367" s="209">
        <v>0</v>
      </c>
      <c r="L367" s="209">
        <v>-798199.15</v>
      </c>
      <c r="M367" s="209">
        <v>159636.85</v>
      </c>
      <c r="N367" s="242">
        <v>99772.85</v>
      </c>
      <c r="O367" s="239"/>
    </row>
    <row r="368" spans="1:15" x14ac:dyDescent="0.35">
      <c r="A368" s="211" t="s">
        <v>844</v>
      </c>
      <c r="B368" s="211" t="s">
        <v>845</v>
      </c>
      <c r="C368" s="209">
        <v>942422</v>
      </c>
      <c r="D368" s="209">
        <v>0</v>
      </c>
      <c r="E368" s="209">
        <v>0</v>
      </c>
      <c r="F368" s="209">
        <v>942422</v>
      </c>
      <c r="G368" s="242">
        <v>-774884.39</v>
      </c>
      <c r="H368" s="239"/>
      <c r="I368" s="239"/>
      <c r="J368" s="210">
        <v>-62826</v>
      </c>
      <c r="K368" s="209">
        <v>0</v>
      </c>
      <c r="L368" s="209">
        <v>-837710.39</v>
      </c>
      <c r="M368" s="209">
        <v>167537.60999999999</v>
      </c>
      <c r="N368" s="242">
        <v>104711.61</v>
      </c>
      <c r="O368" s="239"/>
    </row>
    <row r="369" spans="1:15" ht="23" x14ac:dyDescent="0.35">
      <c r="A369" s="211" t="s">
        <v>846</v>
      </c>
      <c r="B369" s="211" t="s">
        <v>847</v>
      </c>
      <c r="C369" s="209">
        <v>489206</v>
      </c>
      <c r="D369" s="209">
        <v>0</v>
      </c>
      <c r="E369" s="209">
        <v>0</v>
      </c>
      <c r="F369" s="209">
        <v>489206</v>
      </c>
      <c r="G369" s="242">
        <v>-402238.55</v>
      </c>
      <c r="H369" s="239"/>
      <c r="I369" s="239"/>
      <c r="J369" s="210">
        <v>-32613</v>
      </c>
      <c r="K369" s="209">
        <v>0</v>
      </c>
      <c r="L369" s="209">
        <v>-434851.55</v>
      </c>
      <c r="M369" s="209">
        <v>86967.45</v>
      </c>
      <c r="N369" s="242">
        <v>54354.45</v>
      </c>
      <c r="O369" s="239"/>
    </row>
    <row r="370" spans="1:15" ht="23" x14ac:dyDescent="0.35">
      <c r="A370" s="211" t="s">
        <v>848</v>
      </c>
      <c r="B370" s="211" t="s">
        <v>849</v>
      </c>
      <c r="C370" s="209">
        <v>1371034</v>
      </c>
      <c r="D370" s="209">
        <v>0</v>
      </c>
      <c r="E370" s="209">
        <v>0</v>
      </c>
      <c r="F370" s="209">
        <v>1371034</v>
      </c>
      <c r="G370" s="242">
        <v>-845478.2</v>
      </c>
      <c r="H370" s="239"/>
      <c r="I370" s="239"/>
      <c r="J370" s="210">
        <v>-68550</v>
      </c>
      <c r="K370" s="209">
        <v>0</v>
      </c>
      <c r="L370" s="209">
        <v>-914028.2</v>
      </c>
      <c r="M370" s="209">
        <v>525555.80000000005</v>
      </c>
      <c r="N370" s="242">
        <v>457005.8</v>
      </c>
      <c r="O370" s="239"/>
    </row>
    <row r="371" spans="1:15" ht="23" x14ac:dyDescent="0.35">
      <c r="A371" s="211" t="s">
        <v>850</v>
      </c>
      <c r="B371" s="211" t="s">
        <v>851</v>
      </c>
      <c r="C371" s="209">
        <v>2550415</v>
      </c>
      <c r="D371" s="209">
        <v>0</v>
      </c>
      <c r="E371" s="209">
        <v>0</v>
      </c>
      <c r="F371" s="209">
        <v>2550415</v>
      </c>
      <c r="G371" s="242">
        <v>-2097008.35</v>
      </c>
      <c r="H371" s="239"/>
      <c r="I371" s="239"/>
      <c r="J371" s="210">
        <v>-170027</v>
      </c>
      <c r="K371" s="209">
        <v>0</v>
      </c>
      <c r="L371" s="209">
        <v>-2267035.35</v>
      </c>
      <c r="M371" s="209">
        <v>453406.65</v>
      </c>
      <c r="N371" s="242">
        <v>283379.65000000002</v>
      </c>
      <c r="O371" s="239"/>
    </row>
    <row r="372" spans="1:15" ht="23" x14ac:dyDescent="0.35">
      <c r="A372" s="211" t="s">
        <v>852</v>
      </c>
      <c r="B372" s="211" t="s">
        <v>853</v>
      </c>
      <c r="C372" s="209">
        <v>1331580</v>
      </c>
      <c r="D372" s="209">
        <v>0</v>
      </c>
      <c r="E372" s="209">
        <v>0</v>
      </c>
      <c r="F372" s="209">
        <v>1331580</v>
      </c>
      <c r="G372" s="242">
        <v>-547431.65</v>
      </c>
      <c r="H372" s="239"/>
      <c r="I372" s="239"/>
      <c r="J372" s="210">
        <v>-44385</v>
      </c>
      <c r="K372" s="209">
        <v>0</v>
      </c>
      <c r="L372" s="209">
        <v>-591816.65</v>
      </c>
      <c r="M372" s="209">
        <v>784148.35</v>
      </c>
      <c r="N372" s="242">
        <v>739763.35</v>
      </c>
      <c r="O372" s="239"/>
    </row>
    <row r="373" spans="1:15" ht="34.5" x14ac:dyDescent="0.35">
      <c r="A373" s="211" t="s">
        <v>854</v>
      </c>
      <c r="B373" s="211" t="s">
        <v>855</v>
      </c>
      <c r="C373" s="209">
        <v>811301</v>
      </c>
      <c r="D373" s="209">
        <v>0</v>
      </c>
      <c r="E373" s="209">
        <v>0</v>
      </c>
      <c r="F373" s="209">
        <v>811301</v>
      </c>
      <c r="G373" s="242">
        <v>-667067.65</v>
      </c>
      <c r="H373" s="239"/>
      <c r="I373" s="239"/>
      <c r="J373" s="210">
        <v>-54087</v>
      </c>
      <c r="K373" s="209">
        <v>0</v>
      </c>
      <c r="L373" s="209">
        <v>-721154.65</v>
      </c>
      <c r="M373" s="209">
        <v>144233.35</v>
      </c>
      <c r="N373" s="242">
        <v>90146.35</v>
      </c>
      <c r="O373" s="239"/>
    </row>
    <row r="374" spans="1:15" ht="23" x14ac:dyDescent="0.35">
      <c r="A374" s="211" t="s">
        <v>856</v>
      </c>
      <c r="B374" s="211" t="s">
        <v>857</v>
      </c>
      <c r="C374" s="209">
        <v>34772</v>
      </c>
      <c r="D374" s="209">
        <v>0</v>
      </c>
      <c r="E374" s="209">
        <v>0</v>
      </c>
      <c r="F374" s="209">
        <v>34772</v>
      </c>
      <c r="G374" s="242">
        <v>-34772</v>
      </c>
      <c r="H374" s="239"/>
      <c r="I374" s="239"/>
      <c r="J374" s="210">
        <v>0</v>
      </c>
      <c r="K374" s="209">
        <v>0</v>
      </c>
      <c r="L374" s="209">
        <v>-34772</v>
      </c>
      <c r="M374" s="209">
        <v>0</v>
      </c>
      <c r="N374" s="242">
        <v>0</v>
      </c>
      <c r="O374" s="239"/>
    </row>
    <row r="375" spans="1:15" ht="23" x14ac:dyDescent="0.35">
      <c r="A375" s="211" t="s">
        <v>858</v>
      </c>
      <c r="B375" s="211" t="s">
        <v>859</v>
      </c>
      <c r="C375" s="209">
        <v>79700</v>
      </c>
      <c r="D375" s="209">
        <v>0</v>
      </c>
      <c r="E375" s="209">
        <v>0</v>
      </c>
      <c r="F375" s="209">
        <v>79700</v>
      </c>
      <c r="G375" s="242">
        <v>-79700</v>
      </c>
      <c r="H375" s="239"/>
      <c r="I375" s="239"/>
      <c r="J375" s="210">
        <v>0</v>
      </c>
      <c r="K375" s="209">
        <v>0</v>
      </c>
      <c r="L375" s="209">
        <v>-79700</v>
      </c>
      <c r="M375" s="209">
        <v>0</v>
      </c>
      <c r="N375" s="242">
        <v>0</v>
      </c>
      <c r="O375" s="239"/>
    </row>
    <row r="376" spans="1:15" x14ac:dyDescent="0.35">
      <c r="A376" s="211" t="s">
        <v>860</v>
      </c>
      <c r="B376" s="211" t="s">
        <v>861</v>
      </c>
      <c r="C376" s="209">
        <v>40072</v>
      </c>
      <c r="D376" s="209">
        <v>0</v>
      </c>
      <c r="E376" s="209">
        <v>0</v>
      </c>
      <c r="F376" s="209">
        <v>40072</v>
      </c>
      <c r="G376" s="242">
        <v>-40071.949999999997</v>
      </c>
      <c r="H376" s="239"/>
      <c r="I376" s="239"/>
      <c r="J376" s="210">
        <v>0</v>
      </c>
      <c r="K376" s="209">
        <v>0</v>
      </c>
      <c r="L376" s="209">
        <v>-40071.949999999997</v>
      </c>
      <c r="M376" s="209">
        <v>0.05</v>
      </c>
      <c r="N376" s="242">
        <v>0.05</v>
      </c>
      <c r="O376" s="239"/>
    </row>
    <row r="377" spans="1:15" ht="23" x14ac:dyDescent="0.35">
      <c r="A377" s="211" t="s">
        <v>862</v>
      </c>
      <c r="B377" s="211" t="s">
        <v>863</v>
      </c>
      <c r="C377" s="209">
        <v>90830</v>
      </c>
      <c r="D377" s="209">
        <v>0</v>
      </c>
      <c r="E377" s="209">
        <v>0</v>
      </c>
      <c r="F377" s="209">
        <v>90830</v>
      </c>
      <c r="G377" s="242">
        <v>-90830</v>
      </c>
      <c r="H377" s="239"/>
      <c r="I377" s="239"/>
      <c r="J377" s="210">
        <v>0</v>
      </c>
      <c r="K377" s="209">
        <v>0</v>
      </c>
      <c r="L377" s="209">
        <v>-90830</v>
      </c>
      <c r="M377" s="209">
        <v>0</v>
      </c>
      <c r="N377" s="242">
        <v>0</v>
      </c>
      <c r="O377" s="239"/>
    </row>
    <row r="378" spans="1:15" ht="23" x14ac:dyDescent="0.35">
      <c r="A378" s="211" t="s">
        <v>864</v>
      </c>
      <c r="B378" s="211" t="s">
        <v>865</v>
      </c>
      <c r="C378" s="209">
        <v>35513</v>
      </c>
      <c r="D378" s="209">
        <v>0</v>
      </c>
      <c r="E378" s="209">
        <v>0</v>
      </c>
      <c r="F378" s="209">
        <v>35513</v>
      </c>
      <c r="G378" s="242">
        <v>-35512.81</v>
      </c>
      <c r="H378" s="239"/>
      <c r="I378" s="239"/>
      <c r="J378" s="210">
        <v>0</v>
      </c>
      <c r="K378" s="209">
        <v>0</v>
      </c>
      <c r="L378" s="209">
        <v>-35512.81</v>
      </c>
      <c r="M378" s="209">
        <v>0.19</v>
      </c>
      <c r="N378" s="242">
        <v>0.19</v>
      </c>
      <c r="O378" s="239"/>
    </row>
    <row r="379" spans="1:15" ht="23" x14ac:dyDescent="0.35">
      <c r="A379" s="211" t="s">
        <v>866</v>
      </c>
      <c r="B379" s="211" t="s">
        <v>867</v>
      </c>
      <c r="C379" s="209">
        <v>60000</v>
      </c>
      <c r="D379" s="209">
        <v>0</v>
      </c>
      <c r="E379" s="209">
        <v>0</v>
      </c>
      <c r="F379" s="209">
        <v>60000</v>
      </c>
      <c r="G379" s="242">
        <v>-60000</v>
      </c>
      <c r="H379" s="239"/>
      <c r="I379" s="239"/>
      <c r="J379" s="210">
        <v>0</v>
      </c>
      <c r="K379" s="209">
        <v>0</v>
      </c>
      <c r="L379" s="209">
        <v>-60000</v>
      </c>
      <c r="M379" s="209">
        <v>0</v>
      </c>
      <c r="N379" s="242">
        <v>0</v>
      </c>
      <c r="O379" s="239"/>
    </row>
    <row r="380" spans="1:15" ht="23" x14ac:dyDescent="0.35">
      <c r="A380" s="211" t="s">
        <v>868</v>
      </c>
      <c r="B380" s="211" t="s">
        <v>869</v>
      </c>
      <c r="C380" s="209">
        <v>49800</v>
      </c>
      <c r="D380" s="209">
        <v>0</v>
      </c>
      <c r="E380" s="209">
        <v>0</v>
      </c>
      <c r="F380" s="209">
        <v>49800</v>
      </c>
      <c r="G380" s="242">
        <v>-49800</v>
      </c>
      <c r="H380" s="239"/>
      <c r="I380" s="239"/>
      <c r="J380" s="210">
        <v>0</v>
      </c>
      <c r="K380" s="209">
        <v>0</v>
      </c>
      <c r="L380" s="209">
        <v>-49800</v>
      </c>
      <c r="M380" s="209">
        <v>0</v>
      </c>
      <c r="N380" s="242">
        <v>0</v>
      </c>
      <c r="O380" s="239"/>
    </row>
    <row r="381" spans="1:15" x14ac:dyDescent="0.35">
      <c r="A381" s="211" t="s">
        <v>870</v>
      </c>
      <c r="B381" s="211" t="s">
        <v>861</v>
      </c>
      <c r="C381" s="209">
        <v>28604</v>
      </c>
      <c r="D381" s="209">
        <v>0</v>
      </c>
      <c r="E381" s="209">
        <v>0</v>
      </c>
      <c r="F381" s="209">
        <v>28604</v>
      </c>
      <c r="G381" s="242">
        <v>-28604</v>
      </c>
      <c r="H381" s="239"/>
      <c r="I381" s="239"/>
      <c r="J381" s="210">
        <v>0</v>
      </c>
      <c r="K381" s="209">
        <v>0</v>
      </c>
      <c r="L381" s="209">
        <v>-28604</v>
      </c>
      <c r="M381" s="209">
        <v>0</v>
      </c>
      <c r="N381" s="242">
        <v>0</v>
      </c>
      <c r="O381" s="239"/>
    </row>
    <row r="382" spans="1:15" x14ac:dyDescent="0.35">
      <c r="A382" s="211" t="s">
        <v>871</v>
      </c>
      <c r="B382" s="211" t="s">
        <v>872</v>
      </c>
      <c r="C382" s="209">
        <v>34900</v>
      </c>
      <c r="D382" s="209">
        <v>0</v>
      </c>
      <c r="E382" s="209">
        <v>0</v>
      </c>
      <c r="F382" s="209">
        <v>34900</v>
      </c>
      <c r="G382" s="242">
        <v>-34900</v>
      </c>
      <c r="H382" s="239"/>
      <c r="I382" s="239"/>
      <c r="J382" s="210">
        <v>0</v>
      </c>
      <c r="K382" s="209">
        <v>0</v>
      </c>
      <c r="L382" s="209">
        <v>-34900</v>
      </c>
      <c r="M382" s="209">
        <v>0</v>
      </c>
      <c r="N382" s="242">
        <v>0</v>
      </c>
      <c r="O382" s="239"/>
    </row>
    <row r="383" spans="1:15" x14ac:dyDescent="0.35">
      <c r="A383" s="211" t="s">
        <v>873</v>
      </c>
      <c r="B383" s="211" t="s">
        <v>874</v>
      </c>
      <c r="C383" s="209">
        <v>91450</v>
      </c>
      <c r="D383" s="209">
        <v>0</v>
      </c>
      <c r="E383" s="209">
        <v>0</v>
      </c>
      <c r="F383" s="209">
        <v>91450</v>
      </c>
      <c r="G383" s="242">
        <v>-91450</v>
      </c>
      <c r="H383" s="239"/>
      <c r="I383" s="239"/>
      <c r="J383" s="210">
        <v>0</v>
      </c>
      <c r="K383" s="209">
        <v>0</v>
      </c>
      <c r="L383" s="209">
        <v>-91450</v>
      </c>
      <c r="M383" s="209">
        <v>0</v>
      </c>
      <c r="N383" s="242">
        <v>0</v>
      </c>
      <c r="O383" s="239"/>
    </row>
    <row r="384" spans="1:15" ht="23" x14ac:dyDescent="0.35">
      <c r="A384" s="211" t="s">
        <v>875</v>
      </c>
      <c r="B384" s="211" t="s">
        <v>876</v>
      </c>
      <c r="C384" s="209">
        <v>194385.55</v>
      </c>
      <c r="D384" s="209">
        <v>0</v>
      </c>
      <c r="E384" s="209">
        <v>0</v>
      </c>
      <c r="F384" s="209">
        <v>194385.55</v>
      </c>
      <c r="G384" s="242">
        <v>-194385.55</v>
      </c>
      <c r="H384" s="239"/>
      <c r="I384" s="239"/>
      <c r="J384" s="210">
        <v>0</v>
      </c>
      <c r="K384" s="209">
        <v>0</v>
      </c>
      <c r="L384" s="209">
        <v>-194385.55</v>
      </c>
      <c r="M384" s="209">
        <v>0</v>
      </c>
      <c r="N384" s="242">
        <v>0</v>
      </c>
      <c r="O384" s="239"/>
    </row>
    <row r="385" spans="1:15" ht="34.5" x14ac:dyDescent="0.35">
      <c r="A385" s="211" t="s">
        <v>877</v>
      </c>
      <c r="B385" s="211" t="s">
        <v>878</v>
      </c>
      <c r="C385" s="209">
        <v>125000</v>
      </c>
      <c r="D385" s="209">
        <v>0</v>
      </c>
      <c r="E385" s="209">
        <v>0</v>
      </c>
      <c r="F385" s="209">
        <v>125000</v>
      </c>
      <c r="G385" s="242">
        <v>-125000</v>
      </c>
      <c r="H385" s="239"/>
      <c r="I385" s="239"/>
      <c r="J385" s="210">
        <v>0</v>
      </c>
      <c r="K385" s="209">
        <v>0</v>
      </c>
      <c r="L385" s="209">
        <v>-125000</v>
      </c>
      <c r="M385" s="209">
        <v>0</v>
      </c>
      <c r="N385" s="242">
        <v>0</v>
      </c>
      <c r="O385" s="239"/>
    </row>
    <row r="386" spans="1:15" ht="23" x14ac:dyDescent="0.35">
      <c r="A386" s="211" t="s">
        <v>879</v>
      </c>
      <c r="B386" s="211" t="s">
        <v>880</v>
      </c>
      <c r="C386" s="209">
        <v>60000</v>
      </c>
      <c r="D386" s="209">
        <v>0</v>
      </c>
      <c r="E386" s="209">
        <v>0</v>
      </c>
      <c r="F386" s="209">
        <v>60000</v>
      </c>
      <c r="G386" s="242">
        <v>-60000</v>
      </c>
      <c r="H386" s="239"/>
      <c r="I386" s="239"/>
      <c r="J386" s="210">
        <v>0</v>
      </c>
      <c r="K386" s="209">
        <v>0</v>
      </c>
      <c r="L386" s="209">
        <v>-60000</v>
      </c>
      <c r="M386" s="209">
        <v>0</v>
      </c>
      <c r="N386" s="242">
        <v>0</v>
      </c>
      <c r="O386" s="239"/>
    </row>
    <row r="387" spans="1:15" ht="23" x14ac:dyDescent="0.35">
      <c r="A387" s="211" t="s">
        <v>881</v>
      </c>
      <c r="B387" s="211" t="s">
        <v>882</v>
      </c>
      <c r="C387" s="209">
        <v>303679.23</v>
      </c>
      <c r="D387" s="209">
        <v>0</v>
      </c>
      <c r="E387" s="209">
        <v>0</v>
      </c>
      <c r="F387" s="209">
        <v>303679.23</v>
      </c>
      <c r="G387" s="242">
        <v>-303679.23</v>
      </c>
      <c r="H387" s="239"/>
      <c r="I387" s="239"/>
      <c r="J387" s="210">
        <v>0</v>
      </c>
      <c r="K387" s="209">
        <v>0</v>
      </c>
      <c r="L387" s="209">
        <v>-303679.23</v>
      </c>
      <c r="M387" s="209">
        <v>0</v>
      </c>
      <c r="N387" s="242">
        <v>0</v>
      </c>
      <c r="O387" s="239"/>
    </row>
    <row r="388" spans="1:15" ht="23" x14ac:dyDescent="0.35">
      <c r="A388" s="211" t="s">
        <v>883</v>
      </c>
      <c r="B388" s="211" t="s">
        <v>884</v>
      </c>
      <c r="C388" s="209">
        <v>1005105</v>
      </c>
      <c r="D388" s="209">
        <v>0</v>
      </c>
      <c r="E388" s="209">
        <v>0</v>
      </c>
      <c r="F388" s="209">
        <v>1005105</v>
      </c>
      <c r="G388" s="242">
        <v>-1005105</v>
      </c>
      <c r="H388" s="239"/>
      <c r="I388" s="239"/>
      <c r="J388" s="210">
        <v>0</v>
      </c>
      <c r="K388" s="209">
        <v>0</v>
      </c>
      <c r="L388" s="209">
        <v>-1005105</v>
      </c>
      <c r="M388" s="209">
        <v>0</v>
      </c>
      <c r="N388" s="242">
        <v>0</v>
      </c>
      <c r="O388" s="239"/>
    </row>
    <row r="389" spans="1:15" ht="23" x14ac:dyDescent="0.35">
      <c r="A389" s="211" t="s">
        <v>885</v>
      </c>
      <c r="B389" s="211" t="s">
        <v>886</v>
      </c>
      <c r="C389" s="209">
        <v>51000</v>
      </c>
      <c r="D389" s="209">
        <v>0</v>
      </c>
      <c r="E389" s="209">
        <v>0</v>
      </c>
      <c r="F389" s="209">
        <v>51000</v>
      </c>
      <c r="G389" s="242">
        <v>-51000</v>
      </c>
      <c r="H389" s="239"/>
      <c r="I389" s="239"/>
      <c r="J389" s="210">
        <v>0</v>
      </c>
      <c r="K389" s="209">
        <v>0</v>
      </c>
      <c r="L389" s="209">
        <v>-51000</v>
      </c>
      <c r="M389" s="209">
        <v>0</v>
      </c>
      <c r="N389" s="242">
        <v>0</v>
      </c>
      <c r="O389" s="239"/>
    </row>
    <row r="390" spans="1:15" ht="23" x14ac:dyDescent="0.35">
      <c r="A390" s="211" t="s">
        <v>887</v>
      </c>
      <c r="B390" s="211" t="s">
        <v>888</v>
      </c>
      <c r="C390" s="209">
        <v>62564</v>
      </c>
      <c r="D390" s="209">
        <v>0</v>
      </c>
      <c r="E390" s="209">
        <v>0</v>
      </c>
      <c r="F390" s="209">
        <v>62564</v>
      </c>
      <c r="G390" s="242">
        <v>-62564</v>
      </c>
      <c r="H390" s="239"/>
      <c r="I390" s="239"/>
      <c r="J390" s="210">
        <v>0</v>
      </c>
      <c r="K390" s="209">
        <v>0</v>
      </c>
      <c r="L390" s="209">
        <v>-62564</v>
      </c>
      <c r="M390" s="209">
        <v>0</v>
      </c>
      <c r="N390" s="242">
        <v>0</v>
      </c>
      <c r="O390" s="239"/>
    </row>
    <row r="391" spans="1:15" x14ac:dyDescent="0.35">
      <c r="A391" s="211" t="s">
        <v>889</v>
      </c>
      <c r="B391" s="211" t="s">
        <v>890</v>
      </c>
      <c r="C391" s="209">
        <v>386739</v>
      </c>
      <c r="D391" s="209">
        <v>0</v>
      </c>
      <c r="E391" s="209">
        <v>0</v>
      </c>
      <c r="F391" s="209">
        <v>386739</v>
      </c>
      <c r="G391" s="242">
        <v>-309114.71999999997</v>
      </c>
      <c r="H391" s="239"/>
      <c r="I391" s="239"/>
      <c r="J391" s="210">
        <v>-25875</v>
      </c>
      <c r="K391" s="209">
        <v>0</v>
      </c>
      <c r="L391" s="209">
        <v>-334989.71999999997</v>
      </c>
      <c r="M391" s="209">
        <v>77624.28</v>
      </c>
      <c r="N391" s="242">
        <v>51749.279999999999</v>
      </c>
      <c r="O391" s="239"/>
    </row>
    <row r="392" spans="1:15" x14ac:dyDescent="0.35">
      <c r="A392" s="211" t="s">
        <v>891</v>
      </c>
      <c r="B392" s="211" t="s">
        <v>892</v>
      </c>
      <c r="C392" s="209">
        <v>544298.86</v>
      </c>
      <c r="D392" s="209">
        <v>0</v>
      </c>
      <c r="E392" s="209">
        <v>0</v>
      </c>
      <c r="F392" s="209">
        <v>544298.86</v>
      </c>
      <c r="G392" s="242">
        <v>-217725.56</v>
      </c>
      <c r="H392" s="239"/>
      <c r="I392" s="239"/>
      <c r="J392" s="210">
        <v>-18143</v>
      </c>
      <c r="K392" s="209">
        <v>0</v>
      </c>
      <c r="L392" s="209">
        <v>-235868.56</v>
      </c>
      <c r="M392" s="209">
        <v>326573.3</v>
      </c>
      <c r="N392" s="242">
        <v>308430.3</v>
      </c>
      <c r="O392" s="239"/>
    </row>
    <row r="393" spans="1:15" x14ac:dyDescent="0.35">
      <c r="A393" s="211" t="s">
        <v>893</v>
      </c>
      <c r="B393" s="211" t="s">
        <v>894</v>
      </c>
      <c r="C393" s="209">
        <v>685164.34</v>
      </c>
      <c r="D393" s="209">
        <v>0</v>
      </c>
      <c r="E393" s="209">
        <v>0</v>
      </c>
      <c r="F393" s="209">
        <v>685164.34</v>
      </c>
      <c r="G393" s="242">
        <v>-548172.89</v>
      </c>
      <c r="H393" s="239"/>
      <c r="I393" s="239"/>
      <c r="J393" s="210">
        <v>-45664</v>
      </c>
      <c r="K393" s="209">
        <v>0</v>
      </c>
      <c r="L393" s="209">
        <v>-593836.89</v>
      </c>
      <c r="M393" s="209">
        <v>136991.45000000001</v>
      </c>
      <c r="N393" s="242">
        <v>91327.45</v>
      </c>
      <c r="O393" s="239"/>
    </row>
    <row r="394" spans="1:15" ht="23" x14ac:dyDescent="0.35">
      <c r="A394" s="211" t="s">
        <v>895</v>
      </c>
      <c r="B394" s="211" t="s">
        <v>896</v>
      </c>
      <c r="C394" s="209">
        <v>1023590.3</v>
      </c>
      <c r="D394" s="209">
        <v>0</v>
      </c>
      <c r="E394" s="209">
        <v>0</v>
      </c>
      <c r="F394" s="209">
        <v>1023590.3</v>
      </c>
      <c r="G394" s="242">
        <v>-818731.89</v>
      </c>
      <c r="H394" s="239"/>
      <c r="I394" s="239"/>
      <c r="J394" s="210">
        <v>-68286</v>
      </c>
      <c r="K394" s="209">
        <v>0</v>
      </c>
      <c r="L394" s="209">
        <v>-887017.89</v>
      </c>
      <c r="M394" s="209">
        <v>204858.41</v>
      </c>
      <c r="N394" s="242">
        <v>136572.41</v>
      </c>
      <c r="O394" s="239"/>
    </row>
    <row r="395" spans="1:15" x14ac:dyDescent="0.35">
      <c r="A395" s="211" t="s">
        <v>897</v>
      </c>
      <c r="B395" s="211" t="s">
        <v>898</v>
      </c>
      <c r="C395" s="209">
        <v>1857042.34</v>
      </c>
      <c r="D395" s="209">
        <v>0</v>
      </c>
      <c r="E395" s="209">
        <v>0</v>
      </c>
      <c r="F395" s="209">
        <v>1857042.34</v>
      </c>
      <c r="G395" s="242">
        <v>-1485434.76</v>
      </c>
      <c r="H395" s="239"/>
      <c r="I395" s="239"/>
      <c r="J395" s="210">
        <v>-123869</v>
      </c>
      <c r="K395" s="209">
        <v>0</v>
      </c>
      <c r="L395" s="209">
        <v>-1609303.76</v>
      </c>
      <c r="M395" s="209">
        <v>371607.58</v>
      </c>
      <c r="N395" s="242">
        <v>247738.58</v>
      </c>
      <c r="O395" s="239"/>
    </row>
    <row r="396" spans="1:15" x14ac:dyDescent="0.35">
      <c r="A396" s="211" t="s">
        <v>899</v>
      </c>
      <c r="B396" s="211" t="s">
        <v>900</v>
      </c>
      <c r="C396" s="209">
        <v>1306599</v>
      </c>
      <c r="D396" s="209">
        <v>0</v>
      </c>
      <c r="E396" s="209">
        <v>0</v>
      </c>
      <c r="F396" s="209">
        <v>1306599</v>
      </c>
      <c r="G396" s="242">
        <v>-522628.44</v>
      </c>
      <c r="H396" s="239"/>
      <c r="I396" s="239"/>
      <c r="J396" s="210">
        <v>-43554</v>
      </c>
      <c r="K396" s="209">
        <v>0</v>
      </c>
      <c r="L396" s="209">
        <v>-566182.43999999994</v>
      </c>
      <c r="M396" s="209">
        <v>783970.56</v>
      </c>
      <c r="N396" s="242">
        <v>740416.56</v>
      </c>
      <c r="O396" s="239"/>
    </row>
    <row r="397" spans="1:15" x14ac:dyDescent="0.35">
      <c r="A397" s="211" t="s">
        <v>901</v>
      </c>
      <c r="B397" s="211" t="s">
        <v>902</v>
      </c>
      <c r="C397" s="209">
        <v>68471</v>
      </c>
      <c r="D397" s="209">
        <v>0</v>
      </c>
      <c r="E397" s="209">
        <v>0</v>
      </c>
      <c r="F397" s="209">
        <v>68471</v>
      </c>
      <c r="G397" s="242">
        <v>-68470.97</v>
      </c>
      <c r="H397" s="239"/>
      <c r="I397" s="239"/>
      <c r="J397" s="210">
        <v>0</v>
      </c>
      <c r="K397" s="209">
        <v>0</v>
      </c>
      <c r="L397" s="209">
        <v>-68470.97</v>
      </c>
      <c r="M397" s="209">
        <v>0.03</v>
      </c>
      <c r="N397" s="242">
        <v>0.03</v>
      </c>
      <c r="O397" s="239"/>
    </row>
    <row r="398" spans="1:15" x14ac:dyDescent="0.35">
      <c r="A398" s="211" t="s">
        <v>903</v>
      </c>
      <c r="B398" s="211" t="s">
        <v>861</v>
      </c>
      <c r="C398" s="209">
        <v>62985</v>
      </c>
      <c r="D398" s="209">
        <v>0</v>
      </c>
      <c r="E398" s="209">
        <v>0</v>
      </c>
      <c r="F398" s="209">
        <v>62985</v>
      </c>
      <c r="G398" s="242">
        <v>-62985</v>
      </c>
      <c r="H398" s="239"/>
      <c r="I398" s="239"/>
      <c r="J398" s="210">
        <v>0</v>
      </c>
      <c r="K398" s="209">
        <v>0</v>
      </c>
      <c r="L398" s="209">
        <v>-62985</v>
      </c>
      <c r="M398" s="209">
        <v>0</v>
      </c>
      <c r="N398" s="242">
        <v>0</v>
      </c>
      <c r="O398" s="239"/>
    </row>
    <row r="399" spans="1:15" ht="23" x14ac:dyDescent="0.35">
      <c r="A399" s="211" t="s">
        <v>904</v>
      </c>
      <c r="B399" s="211" t="s">
        <v>905</v>
      </c>
      <c r="C399" s="209">
        <v>51728</v>
      </c>
      <c r="D399" s="209">
        <v>0</v>
      </c>
      <c r="E399" s="209">
        <v>0</v>
      </c>
      <c r="F399" s="209">
        <v>51728</v>
      </c>
      <c r="G399" s="242">
        <v>-51728</v>
      </c>
      <c r="H399" s="239"/>
      <c r="I399" s="239"/>
      <c r="J399" s="210">
        <v>0</v>
      </c>
      <c r="K399" s="209">
        <v>0</v>
      </c>
      <c r="L399" s="209">
        <v>-51728</v>
      </c>
      <c r="M399" s="209">
        <v>0</v>
      </c>
      <c r="N399" s="242">
        <v>0</v>
      </c>
      <c r="O399" s="239"/>
    </row>
    <row r="400" spans="1:15" ht="23" x14ac:dyDescent="0.35">
      <c r="A400" s="211" t="s">
        <v>906</v>
      </c>
      <c r="B400" s="211" t="s">
        <v>907</v>
      </c>
      <c r="C400" s="209">
        <v>128100</v>
      </c>
      <c r="D400" s="209">
        <v>0</v>
      </c>
      <c r="E400" s="209">
        <v>0</v>
      </c>
      <c r="F400" s="209">
        <v>128100</v>
      </c>
      <c r="G400" s="242">
        <v>-128100</v>
      </c>
      <c r="H400" s="239"/>
      <c r="I400" s="239"/>
      <c r="J400" s="210">
        <v>0</v>
      </c>
      <c r="K400" s="209">
        <v>0</v>
      </c>
      <c r="L400" s="209">
        <v>-128100</v>
      </c>
      <c r="M400" s="209">
        <v>0</v>
      </c>
      <c r="N400" s="242">
        <v>0</v>
      </c>
      <c r="O400" s="239"/>
    </row>
    <row r="401" spans="1:15" ht="23" x14ac:dyDescent="0.35">
      <c r="A401" s="211" t="s">
        <v>908</v>
      </c>
      <c r="B401" s="211" t="s">
        <v>909</v>
      </c>
      <c r="C401" s="209">
        <v>31900</v>
      </c>
      <c r="D401" s="209">
        <v>0</v>
      </c>
      <c r="E401" s="209">
        <v>0</v>
      </c>
      <c r="F401" s="209">
        <v>31900</v>
      </c>
      <c r="G401" s="242">
        <v>-31900</v>
      </c>
      <c r="H401" s="239"/>
      <c r="I401" s="239"/>
      <c r="J401" s="210">
        <v>0</v>
      </c>
      <c r="K401" s="209">
        <v>0</v>
      </c>
      <c r="L401" s="209">
        <v>-31900</v>
      </c>
      <c r="M401" s="209">
        <v>0</v>
      </c>
      <c r="N401" s="242">
        <v>0</v>
      </c>
      <c r="O401" s="239"/>
    </row>
    <row r="402" spans="1:15" ht="23" x14ac:dyDescent="0.35">
      <c r="A402" s="211" t="s">
        <v>910</v>
      </c>
      <c r="B402" s="211" t="s">
        <v>911</v>
      </c>
      <c r="C402" s="209">
        <v>60000</v>
      </c>
      <c r="D402" s="209">
        <v>0</v>
      </c>
      <c r="E402" s="209">
        <v>0</v>
      </c>
      <c r="F402" s="209">
        <v>60000</v>
      </c>
      <c r="G402" s="242">
        <v>-60000</v>
      </c>
      <c r="H402" s="239"/>
      <c r="I402" s="239"/>
      <c r="J402" s="210">
        <v>0</v>
      </c>
      <c r="K402" s="209">
        <v>0</v>
      </c>
      <c r="L402" s="209">
        <v>-60000</v>
      </c>
      <c r="M402" s="209">
        <v>0</v>
      </c>
      <c r="N402" s="242">
        <v>0</v>
      </c>
      <c r="O402" s="239"/>
    </row>
    <row r="403" spans="1:15" ht="23" x14ac:dyDescent="0.35">
      <c r="A403" s="211" t="s">
        <v>912</v>
      </c>
      <c r="B403" s="211" t="s">
        <v>913</v>
      </c>
      <c r="C403" s="209">
        <v>46624</v>
      </c>
      <c r="D403" s="209">
        <v>0</v>
      </c>
      <c r="E403" s="209">
        <v>0</v>
      </c>
      <c r="F403" s="209">
        <v>46624</v>
      </c>
      <c r="G403" s="242">
        <v>-46624</v>
      </c>
      <c r="H403" s="239"/>
      <c r="I403" s="239"/>
      <c r="J403" s="210">
        <v>0</v>
      </c>
      <c r="K403" s="209">
        <v>0</v>
      </c>
      <c r="L403" s="209">
        <v>-46624</v>
      </c>
      <c r="M403" s="209">
        <v>0</v>
      </c>
      <c r="N403" s="242">
        <v>0</v>
      </c>
      <c r="O403" s="239"/>
    </row>
    <row r="404" spans="1:15" ht="23" x14ac:dyDescent="0.35">
      <c r="A404" s="211" t="s">
        <v>914</v>
      </c>
      <c r="B404" s="211" t="s">
        <v>915</v>
      </c>
      <c r="C404" s="209">
        <v>177000</v>
      </c>
      <c r="D404" s="209">
        <v>0</v>
      </c>
      <c r="E404" s="209">
        <v>0</v>
      </c>
      <c r="F404" s="209">
        <v>177000</v>
      </c>
      <c r="G404" s="242">
        <v>-177000</v>
      </c>
      <c r="H404" s="239"/>
      <c r="I404" s="239"/>
      <c r="J404" s="210">
        <v>0</v>
      </c>
      <c r="K404" s="209">
        <v>0</v>
      </c>
      <c r="L404" s="209">
        <v>-177000</v>
      </c>
      <c r="M404" s="209">
        <v>0</v>
      </c>
      <c r="N404" s="242">
        <v>0</v>
      </c>
      <c r="O404" s="239"/>
    </row>
    <row r="405" spans="1:15" ht="23" x14ac:dyDescent="0.35">
      <c r="A405" s="211" t="s">
        <v>916</v>
      </c>
      <c r="B405" s="211" t="s">
        <v>917</v>
      </c>
      <c r="C405" s="209">
        <v>83843</v>
      </c>
      <c r="D405" s="209">
        <v>0</v>
      </c>
      <c r="E405" s="209">
        <v>0</v>
      </c>
      <c r="F405" s="209">
        <v>83843</v>
      </c>
      <c r="G405" s="242">
        <v>-83843</v>
      </c>
      <c r="H405" s="239"/>
      <c r="I405" s="239"/>
      <c r="J405" s="210">
        <v>0</v>
      </c>
      <c r="K405" s="209">
        <v>0</v>
      </c>
      <c r="L405" s="209">
        <v>-83843</v>
      </c>
      <c r="M405" s="209">
        <v>0</v>
      </c>
      <c r="N405" s="242">
        <v>0</v>
      </c>
      <c r="O405" s="239"/>
    </row>
    <row r="406" spans="1:15" ht="23" x14ac:dyDescent="0.35">
      <c r="A406" s="211" t="s">
        <v>918</v>
      </c>
      <c r="B406" s="211" t="s">
        <v>919</v>
      </c>
      <c r="C406" s="209">
        <v>578735</v>
      </c>
      <c r="D406" s="209">
        <v>0</v>
      </c>
      <c r="E406" s="209">
        <v>0</v>
      </c>
      <c r="F406" s="209">
        <v>578735</v>
      </c>
      <c r="G406" s="242">
        <v>-335176.37</v>
      </c>
      <c r="H406" s="239"/>
      <c r="I406" s="239"/>
      <c r="J406" s="210">
        <v>-28938</v>
      </c>
      <c r="K406" s="209">
        <v>0</v>
      </c>
      <c r="L406" s="209">
        <v>-364114.37</v>
      </c>
      <c r="M406" s="209">
        <v>243558.63</v>
      </c>
      <c r="N406" s="242">
        <v>214620.63</v>
      </c>
      <c r="O406" s="239"/>
    </row>
    <row r="407" spans="1:15" x14ac:dyDescent="0.35">
      <c r="A407" s="211" t="s">
        <v>920</v>
      </c>
      <c r="B407" s="211" t="s">
        <v>921</v>
      </c>
      <c r="C407" s="209">
        <v>762900</v>
      </c>
      <c r="D407" s="209">
        <v>0</v>
      </c>
      <c r="E407" s="209">
        <v>0</v>
      </c>
      <c r="F407" s="209">
        <v>762900</v>
      </c>
      <c r="G407" s="242">
        <v>-584885.86</v>
      </c>
      <c r="H407" s="239"/>
      <c r="I407" s="239"/>
      <c r="J407" s="210">
        <v>-50861</v>
      </c>
      <c r="K407" s="209">
        <v>0</v>
      </c>
      <c r="L407" s="209">
        <v>-635746.86</v>
      </c>
      <c r="M407" s="209">
        <v>178014.14</v>
      </c>
      <c r="N407" s="242">
        <v>127153.14</v>
      </c>
      <c r="O407" s="239"/>
    </row>
    <row r="408" spans="1:15" x14ac:dyDescent="0.35">
      <c r="A408" s="211" t="s">
        <v>922</v>
      </c>
      <c r="B408" s="211" t="s">
        <v>861</v>
      </c>
      <c r="C408" s="209">
        <v>45832.77</v>
      </c>
      <c r="D408" s="209">
        <v>0</v>
      </c>
      <c r="E408" s="209">
        <v>0</v>
      </c>
      <c r="F408" s="209">
        <v>45832.77</v>
      </c>
      <c r="G408" s="242">
        <v>-45832.6</v>
      </c>
      <c r="H408" s="239"/>
      <c r="I408" s="239"/>
      <c r="J408" s="210">
        <v>0</v>
      </c>
      <c r="K408" s="209">
        <v>0</v>
      </c>
      <c r="L408" s="209">
        <v>-45832.6</v>
      </c>
      <c r="M408" s="209">
        <v>0.17</v>
      </c>
      <c r="N408" s="242">
        <v>0.17</v>
      </c>
      <c r="O408" s="239"/>
    </row>
    <row r="409" spans="1:15" x14ac:dyDescent="0.35">
      <c r="A409" s="211" t="s">
        <v>923</v>
      </c>
      <c r="B409" s="211" t="s">
        <v>924</v>
      </c>
      <c r="C409" s="209">
        <v>311076</v>
      </c>
      <c r="D409" s="209">
        <v>0</v>
      </c>
      <c r="E409" s="209">
        <v>0</v>
      </c>
      <c r="F409" s="209">
        <v>311076</v>
      </c>
      <c r="G409" s="242">
        <v>-311076</v>
      </c>
      <c r="H409" s="239"/>
      <c r="I409" s="239"/>
      <c r="J409" s="210">
        <v>0</v>
      </c>
      <c r="K409" s="209">
        <v>0</v>
      </c>
      <c r="L409" s="209">
        <v>-311076</v>
      </c>
      <c r="M409" s="209">
        <v>0</v>
      </c>
      <c r="N409" s="242">
        <v>0</v>
      </c>
      <c r="O409" s="239"/>
    </row>
    <row r="410" spans="1:15" ht="23" x14ac:dyDescent="0.35">
      <c r="A410" s="211" t="s">
        <v>925</v>
      </c>
      <c r="B410" s="211" t="s">
        <v>926</v>
      </c>
      <c r="C410" s="209">
        <v>49363</v>
      </c>
      <c r="D410" s="209">
        <v>0</v>
      </c>
      <c r="E410" s="209">
        <v>0</v>
      </c>
      <c r="F410" s="209">
        <v>49363</v>
      </c>
      <c r="G410" s="242">
        <v>-49363</v>
      </c>
      <c r="H410" s="239"/>
      <c r="I410" s="239"/>
      <c r="J410" s="210">
        <v>0</v>
      </c>
      <c r="K410" s="209">
        <v>0</v>
      </c>
      <c r="L410" s="209">
        <v>-49363</v>
      </c>
      <c r="M410" s="209">
        <v>0</v>
      </c>
      <c r="N410" s="242">
        <v>0</v>
      </c>
      <c r="O410" s="239"/>
    </row>
    <row r="411" spans="1:15" x14ac:dyDescent="0.35">
      <c r="A411" s="211" t="s">
        <v>927</v>
      </c>
      <c r="B411" s="211" t="s">
        <v>928</v>
      </c>
      <c r="C411" s="209">
        <v>291153</v>
      </c>
      <c r="D411" s="209">
        <v>0</v>
      </c>
      <c r="E411" s="209">
        <v>0</v>
      </c>
      <c r="F411" s="209">
        <v>291153</v>
      </c>
      <c r="G411" s="242">
        <v>-291152.75</v>
      </c>
      <c r="H411" s="239"/>
      <c r="I411" s="239"/>
      <c r="J411" s="210">
        <v>0</v>
      </c>
      <c r="K411" s="209">
        <v>0</v>
      </c>
      <c r="L411" s="209">
        <v>-291152.75</v>
      </c>
      <c r="M411" s="209">
        <v>0.25</v>
      </c>
      <c r="N411" s="242">
        <v>0.25</v>
      </c>
      <c r="O411" s="239"/>
    </row>
    <row r="412" spans="1:15" ht="23" x14ac:dyDescent="0.35">
      <c r="A412" s="211" t="s">
        <v>929</v>
      </c>
      <c r="B412" s="211" t="s">
        <v>930</v>
      </c>
      <c r="C412" s="209">
        <v>92735</v>
      </c>
      <c r="D412" s="209">
        <v>0</v>
      </c>
      <c r="E412" s="209">
        <v>0</v>
      </c>
      <c r="F412" s="209">
        <v>92735</v>
      </c>
      <c r="G412" s="242">
        <v>-92735</v>
      </c>
      <c r="H412" s="239"/>
      <c r="I412" s="239"/>
      <c r="J412" s="210">
        <v>0</v>
      </c>
      <c r="K412" s="209">
        <v>0</v>
      </c>
      <c r="L412" s="209">
        <v>-92735</v>
      </c>
      <c r="M412" s="209">
        <v>0</v>
      </c>
      <c r="N412" s="242">
        <v>0</v>
      </c>
      <c r="O412" s="239"/>
    </row>
    <row r="413" spans="1:15" x14ac:dyDescent="0.35">
      <c r="A413" s="211" t="s">
        <v>931</v>
      </c>
      <c r="B413" s="211" t="s">
        <v>861</v>
      </c>
      <c r="C413" s="209">
        <v>29844</v>
      </c>
      <c r="D413" s="209">
        <v>0</v>
      </c>
      <c r="E413" s="209">
        <v>0</v>
      </c>
      <c r="F413" s="209">
        <v>29844</v>
      </c>
      <c r="G413" s="242">
        <v>-29843.599999999999</v>
      </c>
      <c r="H413" s="239"/>
      <c r="I413" s="239"/>
      <c r="J413" s="210">
        <v>0</v>
      </c>
      <c r="K413" s="209">
        <v>0</v>
      </c>
      <c r="L413" s="209">
        <v>-29843.599999999999</v>
      </c>
      <c r="M413" s="209">
        <v>0.4</v>
      </c>
      <c r="N413" s="242">
        <v>0.4</v>
      </c>
      <c r="O413" s="239"/>
    </row>
    <row r="414" spans="1:15" ht="23" x14ac:dyDescent="0.35">
      <c r="A414" s="211" t="s">
        <v>932</v>
      </c>
      <c r="B414" s="211" t="s">
        <v>933</v>
      </c>
      <c r="C414" s="209">
        <v>29900</v>
      </c>
      <c r="D414" s="209">
        <v>0</v>
      </c>
      <c r="E414" s="209">
        <v>0</v>
      </c>
      <c r="F414" s="209">
        <v>29900</v>
      </c>
      <c r="G414" s="242">
        <v>-29899.64</v>
      </c>
      <c r="H414" s="239"/>
      <c r="I414" s="239"/>
      <c r="J414" s="210">
        <v>0</v>
      </c>
      <c r="K414" s="209">
        <v>0</v>
      </c>
      <c r="L414" s="209">
        <v>-29899.64</v>
      </c>
      <c r="M414" s="209">
        <v>0.36</v>
      </c>
      <c r="N414" s="242">
        <v>0.36</v>
      </c>
      <c r="O414" s="239"/>
    </row>
    <row r="415" spans="1:15" x14ac:dyDescent="0.35">
      <c r="A415" s="211" t="s">
        <v>934</v>
      </c>
      <c r="B415" s="211" t="s">
        <v>935</v>
      </c>
      <c r="C415" s="209">
        <v>43000</v>
      </c>
      <c r="D415" s="209">
        <v>0</v>
      </c>
      <c r="E415" s="209">
        <v>0</v>
      </c>
      <c r="F415" s="209">
        <v>43000</v>
      </c>
      <c r="G415" s="242">
        <v>-43000</v>
      </c>
      <c r="H415" s="239"/>
      <c r="I415" s="239"/>
      <c r="J415" s="210">
        <v>0</v>
      </c>
      <c r="K415" s="209">
        <v>0</v>
      </c>
      <c r="L415" s="209">
        <v>-43000</v>
      </c>
      <c r="M415" s="209">
        <v>0</v>
      </c>
      <c r="N415" s="242">
        <v>0</v>
      </c>
      <c r="O415" s="239"/>
    </row>
    <row r="416" spans="1:15" x14ac:dyDescent="0.35">
      <c r="A416" s="211" t="s">
        <v>936</v>
      </c>
      <c r="B416" s="211" t="s">
        <v>937</v>
      </c>
      <c r="C416" s="209">
        <v>41400</v>
      </c>
      <c r="D416" s="209">
        <v>0</v>
      </c>
      <c r="E416" s="209">
        <v>0</v>
      </c>
      <c r="F416" s="209">
        <v>41400</v>
      </c>
      <c r="G416" s="242">
        <v>-41400</v>
      </c>
      <c r="H416" s="239"/>
      <c r="I416" s="239"/>
      <c r="J416" s="210">
        <v>0</v>
      </c>
      <c r="K416" s="209">
        <v>0</v>
      </c>
      <c r="L416" s="209">
        <v>-41400</v>
      </c>
      <c r="M416" s="209">
        <v>0</v>
      </c>
      <c r="N416" s="242">
        <v>0</v>
      </c>
      <c r="O416" s="239"/>
    </row>
    <row r="417" spans="1:15" x14ac:dyDescent="0.35">
      <c r="A417" s="211" t="s">
        <v>938</v>
      </c>
      <c r="B417" s="211" t="s">
        <v>939</v>
      </c>
      <c r="C417" s="209">
        <v>140500</v>
      </c>
      <c r="D417" s="209">
        <v>0</v>
      </c>
      <c r="E417" s="209">
        <v>0</v>
      </c>
      <c r="F417" s="209">
        <v>140500</v>
      </c>
      <c r="G417" s="242">
        <v>-106157.97</v>
      </c>
      <c r="H417" s="239"/>
      <c r="I417" s="239"/>
      <c r="J417" s="210">
        <v>-9366</v>
      </c>
      <c r="K417" s="209">
        <v>0</v>
      </c>
      <c r="L417" s="209">
        <v>-115523.97</v>
      </c>
      <c r="M417" s="209">
        <v>34342.03</v>
      </c>
      <c r="N417" s="242">
        <v>24976.03</v>
      </c>
      <c r="O417" s="239"/>
    </row>
    <row r="418" spans="1:15" ht="23" x14ac:dyDescent="0.35">
      <c r="A418" s="211" t="s">
        <v>940</v>
      </c>
      <c r="B418" s="211" t="s">
        <v>941</v>
      </c>
      <c r="C418" s="209">
        <v>403532.49</v>
      </c>
      <c r="D418" s="209">
        <v>0</v>
      </c>
      <c r="E418" s="209">
        <v>0</v>
      </c>
      <c r="F418" s="209">
        <v>403532.49</v>
      </c>
      <c r="G418" s="242">
        <v>-403532.49</v>
      </c>
      <c r="H418" s="239"/>
      <c r="I418" s="239"/>
      <c r="J418" s="210">
        <v>0</v>
      </c>
      <c r="K418" s="209">
        <v>0</v>
      </c>
      <c r="L418" s="209">
        <v>-403532.49</v>
      </c>
      <c r="M418" s="209">
        <v>0</v>
      </c>
      <c r="N418" s="242">
        <v>0</v>
      </c>
      <c r="O418" s="239"/>
    </row>
    <row r="419" spans="1:15" ht="23" x14ac:dyDescent="0.35">
      <c r="A419" s="211" t="s">
        <v>942</v>
      </c>
      <c r="B419" s="211" t="s">
        <v>943</v>
      </c>
      <c r="C419" s="209">
        <v>53260</v>
      </c>
      <c r="D419" s="209">
        <v>0</v>
      </c>
      <c r="E419" s="209">
        <v>0</v>
      </c>
      <c r="F419" s="209">
        <v>53260</v>
      </c>
      <c r="G419" s="242">
        <v>-53259.7</v>
      </c>
      <c r="H419" s="239"/>
      <c r="I419" s="239"/>
      <c r="J419" s="210">
        <v>0</v>
      </c>
      <c r="K419" s="209">
        <v>0</v>
      </c>
      <c r="L419" s="209">
        <v>-53259.7</v>
      </c>
      <c r="M419" s="209">
        <v>0.3</v>
      </c>
      <c r="N419" s="242">
        <v>0.3</v>
      </c>
      <c r="O419" s="239"/>
    </row>
    <row r="420" spans="1:15" ht="23" x14ac:dyDescent="0.35">
      <c r="A420" s="211" t="s">
        <v>944</v>
      </c>
      <c r="B420" s="211" t="s">
        <v>945</v>
      </c>
      <c r="C420" s="209">
        <v>200608</v>
      </c>
      <c r="D420" s="209">
        <v>0</v>
      </c>
      <c r="E420" s="209">
        <v>0</v>
      </c>
      <c r="F420" s="209">
        <v>200608</v>
      </c>
      <c r="G420" s="242">
        <v>-113671.99</v>
      </c>
      <c r="H420" s="239"/>
      <c r="I420" s="239"/>
      <c r="J420" s="210">
        <v>-10031</v>
      </c>
      <c r="K420" s="209">
        <v>0</v>
      </c>
      <c r="L420" s="209">
        <v>-123702.99</v>
      </c>
      <c r="M420" s="209">
        <v>86936.01</v>
      </c>
      <c r="N420" s="242">
        <v>76905.009999999995</v>
      </c>
      <c r="O420" s="239"/>
    </row>
    <row r="421" spans="1:15" ht="23" x14ac:dyDescent="0.35">
      <c r="A421" s="211" t="s">
        <v>946</v>
      </c>
      <c r="B421" s="211" t="s">
        <v>947</v>
      </c>
      <c r="C421" s="209">
        <v>31100</v>
      </c>
      <c r="D421" s="209">
        <v>0</v>
      </c>
      <c r="E421" s="209">
        <v>0</v>
      </c>
      <c r="F421" s="209">
        <v>31100</v>
      </c>
      <c r="G421" s="242">
        <v>-31100</v>
      </c>
      <c r="H421" s="239"/>
      <c r="I421" s="239"/>
      <c r="J421" s="210">
        <v>0</v>
      </c>
      <c r="K421" s="209">
        <v>0</v>
      </c>
      <c r="L421" s="209">
        <v>-31100</v>
      </c>
      <c r="M421" s="209">
        <v>0</v>
      </c>
      <c r="N421" s="242">
        <v>0</v>
      </c>
      <c r="O421" s="239"/>
    </row>
    <row r="422" spans="1:15" x14ac:dyDescent="0.35">
      <c r="A422" s="211" t="s">
        <v>948</v>
      </c>
      <c r="B422" s="211" t="s">
        <v>949</v>
      </c>
      <c r="C422" s="209">
        <v>99850.5</v>
      </c>
      <c r="D422" s="209">
        <v>0</v>
      </c>
      <c r="E422" s="209">
        <v>0</v>
      </c>
      <c r="F422" s="209">
        <v>99850.5</v>
      </c>
      <c r="G422" s="242">
        <v>-99850.18</v>
      </c>
      <c r="H422" s="239"/>
      <c r="I422" s="239"/>
      <c r="J422" s="210">
        <v>0</v>
      </c>
      <c r="K422" s="209">
        <v>0</v>
      </c>
      <c r="L422" s="209">
        <v>-99850.18</v>
      </c>
      <c r="M422" s="209">
        <v>0.32</v>
      </c>
      <c r="N422" s="242">
        <v>0.32</v>
      </c>
      <c r="O422" s="239"/>
    </row>
    <row r="423" spans="1:15" ht="23" x14ac:dyDescent="0.35">
      <c r="A423" s="211" t="s">
        <v>950</v>
      </c>
      <c r="B423" s="211" t="s">
        <v>951</v>
      </c>
      <c r="C423" s="209">
        <v>250000</v>
      </c>
      <c r="D423" s="209">
        <v>0</v>
      </c>
      <c r="E423" s="209">
        <v>0</v>
      </c>
      <c r="F423" s="209">
        <v>250000</v>
      </c>
      <c r="G423" s="242">
        <v>-250000</v>
      </c>
      <c r="H423" s="239"/>
      <c r="I423" s="239"/>
      <c r="J423" s="210">
        <v>0</v>
      </c>
      <c r="K423" s="209">
        <v>0</v>
      </c>
      <c r="L423" s="209">
        <v>-250000</v>
      </c>
      <c r="M423" s="209">
        <v>0</v>
      </c>
      <c r="N423" s="242">
        <v>0</v>
      </c>
      <c r="O423" s="239"/>
    </row>
    <row r="424" spans="1:15" ht="23" x14ac:dyDescent="0.35">
      <c r="A424" s="211" t="s">
        <v>952</v>
      </c>
      <c r="B424" s="211" t="s">
        <v>953</v>
      </c>
      <c r="C424" s="209">
        <v>205000</v>
      </c>
      <c r="D424" s="209">
        <v>0</v>
      </c>
      <c r="E424" s="209">
        <v>0</v>
      </c>
      <c r="F424" s="209">
        <v>205000</v>
      </c>
      <c r="G424" s="242">
        <v>-205000</v>
      </c>
      <c r="H424" s="239"/>
      <c r="I424" s="239"/>
      <c r="J424" s="210">
        <v>0</v>
      </c>
      <c r="K424" s="209">
        <v>0</v>
      </c>
      <c r="L424" s="209">
        <v>-205000</v>
      </c>
      <c r="M424" s="209">
        <v>0</v>
      </c>
      <c r="N424" s="242">
        <v>0</v>
      </c>
      <c r="O424" s="239"/>
    </row>
    <row r="425" spans="1:15" ht="23" x14ac:dyDescent="0.35">
      <c r="A425" s="211" t="s">
        <v>954</v>
      </c>
      <c r="B425" s="211" t="s">
        <v>955</v>
      </c>
      <c r="C425" s="209">
        <v>35257</v>
      </c>
      <c r="D425" s="209">
        <v>0</v>
      </c>
      <c r="E425" s="209">
        <v>0</v>
      </c>
      <c r="F425" s="209">
        <v>35257</v>
      </c>
      <c r="G425" s="242">
        <v>-35257</v>
      </c>
      <c r="H425" s="239"/>
      <c r="I425" s="239"/>
      <c r="J425" s="210">
        <v>0</v>
      </c>
      <c r="K425" s="209">
        <v>0</v>
      </c>
      <c r="L425" s="209">
        <v>-35257</v>
      </c>
      <c r="M425" s="209">
        <v>0</v>
      </c>
      <c r="N425" s="242">
        <v>0</v>
      </c>
      <c r="O425" s="239"/>
    </row>
    <row r="426" spans="1:15" ht="23" x14ac:dyDescent="0.35">
      <c r="A426" s="211" t="s">
        <v>956</v>
      </c>
      <c r="B426" s="211" t="s">
        <v>957</v>
      </c>
      <c r="C426" s="209">
        <v>56474.5</v>
      </c>
      <c r="D426" s="209">
        <v>0</v>
      </c>
      <c r="E426" s="209">
        <v>0</v>
      </c>
      <c r="F426" s="209">
        <v>56474.5</v>
      </c>
      <c r="G426" s="242">
        <v>-56474.5</v>
      </c>
      <c r="H426" s="239"/>
      <c r="I426" s="239"/>
      <c r="J426" s="210">
        <v>0</v>
      </c>
      <c r="K426" s="209">
        <v>0</v>
      </c>
      <c r="L426" s="209">
        <v>-56474.5</v>
      </c>
      <c r="M426" s="209">
        <v>0</v>
      </c>
      <c r="N426" s="242">
        <v>0</v>
      </c>
      <c r="O426" s="239"/>
    </row>
    <row r="427" spans="1:15" x14ac:dyDescent="0.35">
      <c r="A427" s="211" t="s">
        <v>958</v>
      </c>
      <c r="B427" s="211" t="s">
        <v>959</v>
      </c>
      <c r="C427" s="209">
        <v>184087</v>
      </c>
      <c r="D427" s="209">
        <v>0</v>
      </c>
      <c r="E427" s="209">
        <v>0</v>
      </c>
      <c r="F427" s="209">
        <v>184087</v>
      </c>
      <c r="G427" s="242">
        <v>-136024.29999999999</v>
      </c>
      <c r="H427" s="239"/>
      <c r="I427" s="239"/>
      <c r="J427" s="210">
        <v>-12271</v>
      </c>
      <c r="K427" s="209">
        <v>0</v>
      </c>
      <c r="L427" s="209">
        <v>-148295.29999999999</v>
      </c>
      <c r="M427" s="209">
        <v>48062.7</v>
      </c>
      <c r="N427" s="242">
        <v>35791.699999999997</v>
      </c>
      <c r="O427" s="239"/>
    </row>
    <row r="428" spans="1:15" ht="23" x14ac:dyDescent="0.35">
      <c r="A428" s="211" t="s">
        <v>960</v>
      </c>
      <c r="B428" s="211" t="s">
        <v>961</v>
      </c>
      <c r="C428" s="209">
        <v>82085</v>
      </c>
      <c r="D428" s="209">
        <v>0</v>
      </c>
      <c r="E428" s="209">
        <v>0</v>
      </c>
      <c r="F428" s="209">
        <v>82085</v>
      </c>
      <c r="G428" s="242">
        <v>-82085</v>
      </c>
      <c r="H428" s="239"/>
      <c r="I428" s="239"/>
      <c r="J428" s="210">
        <v>0</v>
      </c>
      <c r="K428" s="209">
        <v>0</v>
      </c>
      <c r="L428" s="209">
        <v>-82085</v>
      </c>
      <c r="M428" s="209">
        <v>0</v>
      </c>
      <c r="N428" s="242">
        <v>0</v>
      </c>
      <c r="O428" s="239"/>
    </row>
    <row r="429" spans="1:15" ht="23" x14ac:dyDescent="0.35">
      <c r="A429" s="211" t="s">
        <v>962</v>
      </c>
      <c r="B429" s="211" t="s">
        <v>963</v>
      </c>
      <c r="C429" s="209">
        <v>30500</v>
      </c>
      <c r="D429" s="209">
        <v>0</v>
      </c>
      <c r="E429" s="209">
        <v>0</v>
      </c>
      <c r="F429" s="209">
        <v>30500</v>
      </c>
      <c r="G429" s="242">
        <v>-30500</v>
      </c>
      <c r="H429" s="239"/>
      <c r="I429" s="239"/>
      <c r="J429" s="210">
        <v>0</v>
      </c>
      <c r="K429" s="209">
        <v>0</v>
      </c>
      <c r="L429" s="209">
        <v>-30500</v>
      </c>
      <c r="M429" s="209">
        <v>0</v>
      </c>
      <c r="N429" s="242">
        <v>0</v>
      </c>
      <c r="O429" s="239"/>
    </row>
    <row r="430" spans="1:15" ht="23" x14ac:dyDescent="0.35">
      <c r="A430" s="211" t="s">
        <v>964</v>
      </c>
      <c r="B430" s="211" t="s">
        <v>965</v>
      </c>
      <c r="C430" s="209">
        <v>110000</v>
      </c>
      <c r="D430" s="209">
        <v>0</v>
      </c>
      <c r="E430" s="209">
        <v>0</v>
      </c>
      <c r="F430" s="209">
        <v>110000</v>
      </c>
      <c r="G430" s="242">
        <v>-110000</v>
      </c>
      <c r="H430" s="239"/>
      <c r="I430" s="239"/>
      <c r="J430" s="210">
        <v>0</v>
      </c>
      <c r="K430" s="209">
        <v>0</v>
      </c>
      <c r="L430" s="209">
        <v>-110000</v>
      </c>
      <c r="M430" s="209">
        <v>0</v>
      </c>
      <c r="N430" s="242">
        <v>0</v>
      </c>
      <c r="O430" s="239"/>
    </row>
    <row r="431" spans="1:15" x14ac:dyDescent="0.35">
      <c r="A431" s="211" t="s">
        <v>966</v>
      </c>
      <c r="B431" s="211" t="s">
        <v>967</v>
      </c>
      <c r="C431" s="209">
        <v>46500</v>
      </c>
      <c r="D431" s="209">
        <v>0</v>
      </c>
      <c r="E431" s="209">
        <v>0</v>
      </c>
      <c r="F431" s="209">
        <v>46500</v>
      </c>
      <c r="G431" s="242">
        <v>-46500</v>
      </c>
      <c r="H431" s="239"/>
      <c r="I431" s="239"/>
      <c r="J431" s="210">
        <v>0</v>
      </c>
      <c r="K431" s="209">
        <v>0</v>
      </c>
      <c r="L431" s="209">
        <v>-46500</v>
      </c>
      <c r="M431" s="209">
        <v>0</v>
      </c>
      <c r="N431" s="242">
        <v>0</v>
      </c>
      <c r="O431" s="239"/>
    </row>
    <row r="432" spans="1:15" ht="23" x14ac:dyDescent="0.35">
      <c r="A432" s="211" t="s">
        <v>968</v>
      </c>
      <c r="B432" s="211" t="s">
        <v>969</v>
      </c>
      <c r="C432" s="209">
        <v>150489</v>
      </c>
      <c r="D432" s="209">
        <v>0</v>
      </c>
      <c r="E432" s="209">
        <v>0</v>
      </c>
      <c r="F432" s="209">
        <v>150489</v>
      </c>
      <c r="G432" s="242">
        <v>-150489</v>
      </c>
      <c r="H432" s="239"/>
      <c r="I432" s="239"/>
      <c r="J432" s="210">
        <v>0</v>
      </c>
      <c r="K432" s="209">
        <v>0</v>
      </c>
      <c r="L432" s="209">
        <v>-150489</v>
      </c>
      <c r="M432" s="209">
        <v>0</v>
      </c>
      <c r="N432" s="242">
        <v>0</v>
      </c>
      <c r="O432" s="239"/>
    </row>
    <row r="433" spans="1:15" ht="23" x14ac:dyDescent="0.35">
      <c r="A433" s="211" t="s">
        <v>970</v>
      </c>
      <c r="B433" s="211" t="s">
        <v>971</v>
      </c>
      <c r="C433" s="209">
        <v>724516</v>
      </c>
      <c r="D433" s="209">
        <v>0</v>
      </c>
      <c r="E433" s="209">
        <v>0</v>
      </c>
      <c r="F433" s="209">
        <v>724516</v>
      </c>
      <c r="G433" s="242">
        <v>-531310.51</v>
      </c>
      <c r="H433" s="239"/>
      <c r="I433" s="239"/>
      <c r="J433" s="210">
        <v>-48301</v>
      </c>
      <c r="K433" s="209">
        <v>0</v>
      </c>
      <c r="L433" s="209">
        <v>-579611.51</v>
      </c>
      <c r="M433" s="209">
        <v>193205.49</v>
      </c>
      <c r="N433" s="242">
        <v>144904.49</v>
      </c>
      <c r="O433" s="239"/>
    </row>
    <row r="434" spans="1:15" ht="23" x14ac:dyDescent="0.35">
      <c r="A434" s="211" t="s">
        <v>972</v>
      </c>
      <c r="B434" s="211" t="s">
        <v>973</v>
      </c>
      <c r="C434" s="209">
        <v>226000</v>
      </c>
      <c r="D434" s="209">
        <v>0</v>
      </c>
      <c r="E434" s="209">
        <v>0</v>
      </c>
      <c r="F434" s="209">
        <v>226000</v>
      </c>
      <c r="G434" s="242">
        <v>-226000</v>
      </c>
      <c r="H434" s="239"/>
      <c r="I434" s="239"/>
      <c r="J434" s="210">
        <v>0</v>
      </c>
      <c r="K434" s="209">
        <v>0</v>
      </c>
      <c r="L434" s="209">
        <v>-226000</v>
      </c>
      <c r="M434" s="209">
        <v>0</v>
      </c>
      <c r="N434" s="242">
        <v>0</v>
      </c>
      <c r="O434" s="239"/>
    </row>
    <row r="435" spans="1:15" ht="23" x14ac:dyDescent="0.35">
      <c r="A435" s="211" t="s">
        <v>974</v>
      </c>
      <c r="B435" s="211" t="s">
        <v>975</v>
      </c>
      <c r="C435" s="209">
        <v>300088</v>
      </c>
      <c r="D435" s="209">
        <v>0</v>
      </c>
      <c r="E435" s="209">
        <v>0</v>
      </c>
      <c r="F435" s="209">
        <v>300088</v>
      </c>
      <c r="G435" s="242">
        <v>-220062.15</v>
      </c>
      <c r="H435" s="239"/>
      <c r="I435" s="239"/>
      <c r="J435" s="210">
        <v>-20007</v>
      </c>
      <c r="K435" s="209">
        <v>0</v>
      </c>
      <c r="L435" s="209">
        <v>-240069.15</v>
      </c>
      <c r="M435" s="209">
        <v>80025.850000000006</v>
      </c>
      <c r="N435" s="242">
        <v>60018.85</v>
      </c>
      <c r="O435" s="239"/>
    </row>
    <row r="436" spans="1:15" x14ac:dyDescent="0.35">
      <c r="A436" s="211" t="s">
        <v>976</v>
      </c>
      <c r="B436" s="211" t="s">
        <v>977</v>
      </c>
      <c r="C436" s="209">
        <v>66500</v>
      </c>
      <c r="D436" s="209">
        <v>0</v>
      </c>
      <c r="E436" s="209">
        <v>0</v>
      </c>
      <c r="F436" s="209">
        <v>66500</v>
      </c>
      <c r="G436" s="242">
        <v>-48764.26</v>
      </c>
      <c r="H436" s="239"/>
      <c r="I436" s="239"/>
      <c r="J436" s="210">
        <v>-4434</v>
      </c>
      <c r="K436" s="209">
        <v>0</v>
      </c>
      <c r="L436" s="209">
        <v>-53198.26</v>
      </c>
      <c r="M436" s="209">
        <v>17735.740000000002</v>
      </c>
      <c r="N436" s="242">
        <v>13301.74</v>
      </c>
      <c r="O436" s="239"/>
    </row>
    <row r="437" spans="1:15" x14ac:dyDescent="0.35">
      <c r="A437" s="211" t="s">
        <v>978</v>
      </c>
      <c r="B437" s="211" t="s">
        <v>979</v>
      </c>
      <c r="C437" s="209">
        <v>66500</v>
      </c>
      <c r="D437" s="209">
        <v>0</v>
      </c>
      <c r="E437" s="209">
        <v>0</v>
      </c>
      <c r="F437" s="209">
        <v>66500</v>
      </c>
      <c r="G437" s="242">
        <v>-48764.26</v>
      </c>
      <c r="H437" s="239"/>
      <c r="I437" s="239"/>
      <c r="J437" s="210">
        <v>-4434</v>
      </c>
      <c r="K437" s="209">
        <v>0</v>
      </c>
      <c r="L437" s="209">
        <v>-53198.26</v>
      </c>
      <c r="M437" s="209">
        <v>17735.740000000002</v>
      </c>
      <c r="N437" s="242">
        <v>13301.74</v>
      </c>
      <c r="O437" s="239"/>
    </row>
    <row r="438" spans="1:15" x14ac:dyDescent="0.35">
      <c r="A438" s="211" t="s">
        <v>980</v>
      </c>
      <c r="B438" s="211" t="s">
        <v>981</v>
      </c>
      <c r="C438" s="209">
        <v>66500</v>
      </c>
      <c r="D438" s="209">
        <v>0</v>
      </c>
      <c r="E438" s="209">
        <v>0</v>
      </c>
      <c r="F438" s="209">
        <v>66500</v>
      </c>
      <c r="G438" s="242">
        <v>-48764.26</v>
      </c>
      <c r="H438" s="239"/>
      <c r="I438" s="239"/>
      <c r="J438" s="210">
        <v>-4434</v>
      </c>
      <c r="K438" s="209">
        <v>0</v>
      </c>
      <c r="L438" s="209">
        <v>-53198.26</v>
      </c>
      <c r="M438" s="209">
        <v>17735.740000000002</v>
      </c>
      <c r="N438" s="242">
        <v>13301.74</v>
      </c>
      <c r="O438" s="239"/>
    </row>
    <row r="439" spans="1:15" x14ac:dyDescent="0.35">
      <c r="A439" s="211" t="s">
        <v>982</v>
      </c>
      <c r="B439" s="211" t="s">
        <v>983</v>
      </c>
      <c r="C439" s="209">
        <v>66500</v>
      </c>
      <c r="D439" s="209">
        <v>0</v>
      </c>
      <c r="E439" s="209">
        <v>0</v>
      </c>
      <c r="F439" s="209">
        <v>66500</v>
      </c>
      <c r="G439" s="242">
        <v>-48764.26</v>
      </c>
      <c r="H439" s="239"/>
      <c r="I439" s="239"/>
      <c r="J439" s="210">
        <v>-4434</v>
      </c>
      <c r="K439" s="209">
        <v>0</v>
      </c>
      <c r="L439" s="209">
        <v>-53198.26</v>
      </c>
      <c r="M439" s="209">
        <v>17735.740000000002</v>
      </c>
      <c r="N439" s="242">
        <v>13301.74</v>
      </c>
      <c r="O439" s="239"/>
    </row>
    <row r="440" spans="1:15" x14ac:dyDescent="0.35">
      <c r="A440" s="211" t="s">
        <v>984</v>
      </c>
      <c r="B440" s="211" t="s">
        <v>985</v>
      </c>
      <c r="C440" s="209">
        <v>66500</v>
      </c>
      <c r="D440" s="209">
        <v>0</v>
      </c>
      <c r="E440" s="209">
        <v>0</v>
      </c>
      <c r="F440" s="209">
        <v>66500</v>
      </c>
      <c r="G440" s="242">
        <v>-48764.26</v>
      </c>
      <c r="H440" s="239"/>
      <c r="I440" s="239"/>
      <c r="J440" s="210">
        <v>-4434</v>
      </c>
      <c r="K440" s="209">
        <v>0</v>
      </c>
      <c r="L440" s="209">
        <v>-53198.26</v>
      </c>
      <c r="M440" s="209">
        <v>17735.740000000002</v>
      </c>
      <c r="N440" s="242">
        <v>13301.74</v>
      </c>
      <c r="O440" s="239"/>
    </row>
    <row r="441" spans="1:15" x14ac:dyDescent="0.35">
      <c r="A441" s="211" t="s">
        <v>986</v>
      </c>
      <c r="B441" s="211" t="s">
        <v>987</v>
      </c>
      <c r="C441" s="209">
        <v>66500</v>
      </c>
      <c r="D441" s="209">
        <v>0</v>
      </c>
      <c r="E441" s="209">
        <v>0</v>
      </c>
      <c r="F441" s="209">
        <v>66500</v>
      </c>
      <c r="G441" s="242">
        <v>-48764.26</v>
      </c>
      <c r="H441" s="239"/>
      <c r="I441" s="239"/>
      <c r="J441" s="210">
        <v>-4434</v>
      </c>
      <c r="K441" s="209">
        <v>0</v>
      </c>
      <c r="L441" s="209">
        <v>-53198.26</v>
      </c>
      <c r="M441" s="209">
        <v>17735.740000000002</v>
      </c>
      <c r="N441" s="242">
        <v>13301.74</v>
      </c>
      <c r="O441" s="239"/>
    </row>
    <row r="442" spans="1:15" x14ac:dyDescent="0.35">
      <c r="A442" s="211" t="s">
        <v>988</v>
      </c>
      <c r="B442" s="211" t="s">
        <v>989</v>
      </c>
      <c r="C442" s="209">
        <v>66500</v>
      </c>
      <c r="D442" s="209">
        <v>0</v>
      </c>
      <c r="E442" s="209">
        <v>0</v>
      </c>
      <c r="F442" s="209">
        <v>66500</v>
      </c>
      <c r="G442" s="242">
        <v>-48764.26</v>
      </c>
      <c r="H442" s="239"/>
      <c r="I442" s="239"/>
      <c r="J442" s="210">
        <v>-4434</v>
      </c>
      <c r="K442" s="209">
        <v>0</v>
      </c>
      <c r="L442" s="209">
        <v>-53198.26</v>
      </c>
      <c r="M442" s="209">
        <v>17735.740000000002</v>
      </c>
      <c r="N442" s="242">
        <v>13301.74</v>
      </c>
      <c r="O442" s="239"/>
    </row>
    <row r="443" spans="1:15" x14ac:dyDescent="0.35">
      <c r="A443" s="211" t="s">
        <v>990</v>
      </c>
      <c r="B443" s="211" t="s">
        <v>991</v>
      </c>
      <c r="C443" s="209">
        <v>66500</v>
      </c>
      <c r="D443" s="209">
        <v>0</v>
      </c>
      <c r="E443" s="209">
        <v>0</v>
      </c>
      <c r="F443" s="209">
        <v>66500</v>
      </c>
      <c r="G443" s="242">
        <v>-48764.26</v>
      </c>
      <c r="H443" s="239"/>
      <c r="I443" s="239"/>
      <c r="J443" s="210">
        <v>-4434</v>
      </c>
      <c r="K443" s="209">
        <v>0</v>
      </c>
      <c r="L443" s="209">
        <v>-53198.26</v>
      </c>
      <c r="M443" s="209">
        <v>17735.740000000002</v>
      </c>
      <c r="N443" s="242">
        <v>13301.74</v>
      </c>
      <c r="O443" s="239"/>
    </row>
    <row r="444" spans="1:15" ht="23" x14ac:dyDescent="0.35">
      <c r="A444" s="211" t="s">
        <v>992</v>
      </c>
      <c r="B444" s="211" t="s">
        <v>993</v>
      </c>
      <c r="C444" s="209">
        <v>420349</v>
      </c>
      <c r="D444" s="209">
        <v>0</v>
      </c>
      <c r="E444" s="209">
        <v>0</v>
      </c>
      <c r="F444" s="209">
        <v>420349</v>
      </c>
      <c r="G444" s="242">
        <v>-231186.55</v>
      </c>
      <c r="H444" s="239"/>
      <c r="I444" s="239"/>
      <c r="J444" s="210">
        <v>-21018</v>
      </c>
      <c r="K444" s="209">
        <v>0</v>
      </c>
      <c r="L444" s="209">
        <v>-252204.55</v>
      </c>
      <c r="M444" s="209">
        <v>189162.45</v>
      </c>
      <c r="N444" s="242">
        <v>168144.45</v>
      </c>
      <c r="O444" s="239"/>
    </row>
    <row r="445" spans="1:15" x14ac:dyDescent="0.35">
      <c r="A445" s="211" t="s">
        <v>994</v>
      </c>
      <c r="B445" s="211" t="s">
        <v>861</v>
      </c>
      <c r="C445" s="209">
        <v>34619</v>
      </c>
      <c r="D445" s="209">
        <v>0</v>
      </c>
      <c r="E445" s="209">
        <v>0</v>
      </c>
      <c r="F445" s="209">
        <v>34619</v>
      </c>
      <c r="G445" s="242">
        <v>-34619</v>
      </c>
      <c r="H445" s="239"/>
      <c r="I445" s="239"/>
      <c r="J445" s="210">
        <v>0</v>
      </c>
      <c r="K445" s="209">
        <v>0</v>
      </c>
      <c r="L445" s="209">
        <v>-34619</v>
      </c>
      <c r="M445" s="209">
        <v>0</v>
      </c>
      <c r="N445" s="242">
        <v>0</v>
      </c>
      <c r="O445" s="239"/>
    </row>
    <row r="446" spans="1:15" x14ac:dyDescent="0.35">
      <c r="A446" s="211" t="s">
        <v>995</v>
      </c>
      <c r="B446" s="211" t="s">
        <v>996</v>
      </c>
      <c r="C446" s="209">
        <v>49990</v>
      </c>
      <c r="D446" s="209">
        <v>0</v>
      </c>
      <c r="E446" s="209">
        <v>0</v>
      </c>
      <c r="F446" s="209">
        <v>49990</v>
      </c>
      <c r="G446" s="242">
        <v>-49989.54</v>
      </c>
      <c r="H446" s="239"/>
      <c r="I446" s="239"/>
      <c r="J446" s="210">
        <v>0</v>
      </c>
      <c r="K446" s="209">
        <v>0</v>
      </c>
      <c r="L446" s="209">
        <v>-49989.54</v>
      </c>
      <c r="M446" s="209">
        <v>0.46</v>
      </c>
      <c r="N446" s="242">
        <v>0.46</v>
      </c>
      <c r="O446" s="239"/>
    </row>
    <row r="447" spans="1:15" ht="23" x14ac:dyDescent="0.35">
      <c r="A447" s="211" t="s">
        <v>997</v>
      </c>
      <c r="B447" s="211" t="s">
        <v>998</v>
      </c>
      <c r="C447" s="209">
        <v>68000</v>
      </c>
      <c r="D447" s="209">
        <v>0</v>
      </c>
      <c r="E447" s="209">
        <v>0</v>
      </c>
      <c r="F447" s="209">
        <v>68000</v>
      </c>
      <c r="G447" s="242">
        <v>-68000</v>
      </c>
      <c r="H447" s="239"/>
      <c r="I447" s="239"/>
      <c r="J447" s="210">
        <v>0</v>
      </c>
      <c r="K447" s="209">
        <v>0</v>
      </c>
      <c r="L447" s="209">
        <v>-68000</v>
      </c>
      <c r="M447" s="209">
        <v>0</v>
      </c>
      <c r="N447" s="242">
        <v>0</v>
      </c>
      <c r="O447" s="239"/>
    </row>
    <row r="448" spans="1:15" x14ac:dyDescent="0.35">
      <c r="A448" s="211" t="s">
        <v>999</v>
      </c>
      <c r="B448" s="211" t="s">
        <v>1000</v>
      </c>
      <c r="C448" s="209">
        <v>31527</v>
      </c>
      <c r="D448" s="209">
        <v>0</v>
      </c>
      <c r="E448" s="209">
        <v>0</v>
      </c>
      <c r="F448" s="209">
        <v>31527</v>
      </c>
      <c r="G448" s="242">
        <v>-31527</v>
      </c>
      <c r="H448" s="239"/>
      <c r="I448" s="239"/>
      <c r="J448" s="210">
        <v>0</v>
      </c>
      <c r="K448" s="209">
        <v>0</v>
      </c>
      <c r="L448" s="209">
        <v>-31527</v>
      </c>
      <c r="M448" s="209">
        <v>0</v>
      </c>
      <c r="N448" s="242">
        <v>0</v>
      </c>
      <c r="O448" s="239"/>
    </row>
    <row r="449" spans="1:15" x14ac:dyDescent="0.35">
      <c r="A449" s="211" t="s">
        <v>1001</v>
      </c>
      <c r="B449" s="211" t="s">
        <v>1002</v>
      </c>
      <c r="C449" s="209">
        <v>31527</v>
      </c>
      <c r="D449" s="209">
        <v>0</v>
      </c>
      <c r="E449" s="209">
        <v>0</v>
      </c>
      <c r="F449" s="209">
        <v>31527</v>
      </c>
      <c r="G449" s="242">
        <v>-31527</v>
      </c>
      <c r="H449" s="239"/>
      <c r="I449" s="239"/>
      <c r="J449" s="210">
        <v>0</v>
      </c>
      <c r="K449" s="209">
        <v>0</v>
      </c>
      <c r="L449" s="209">
        <v>-31527</v>
      </c>
      <c r="M449" s="209">
        <v>0</v>
      </c>
      <c r="N449" s="242">
        <v>0</v>
      </c>
      <c r="O449" s="239"/>
    </row>
    <row r="450" spans="1:15" ht="23" x14ac:dyDescent="0.35">
      <c r="A450" s="211" t="s">
        <v>1003</v>
      </c>
      <c r="B450" s="211" t="s">
        <v>1004</v>
      </c>
      <c r="C450" s="209">
        <v>175100</v>
      </c>
      <c r="D450" s="209">
        <v>0</v>
      </c>
      <c r="E450" s="209">
        <v>0</v>
      </c>
      <c r="F450" s="209">
        <v>175100</v>
      </c>
      <c r="G450" s="242">
        <v>-175100</v>
      </c>
      <c r="H450" s="239"/>
      <c r="I450" s="239"/>
      <c r="J450" s="210">
        <v>0</v>
      </c>
      <c r="K450" s="209">
        <v>0</v>
      </c>
      <c r="L450" s="209">
        <v>-175100</v>
      </c>
      <c r="M450" s="209">
        <v>0</v>
      </c>
      <c r="N450" s="242">
        <v>0</v>
      </c>
      <c r="O450" s="239"/>
    </row>
    <row r="451" spans="1:15" ht="23" x14ac:dyDescent="0.35">
      <c r="A451" s="211" t="s">
        <v>1005</v>
      </c>
      <c r="B451" s="211" t="s">
        <v>1006</v>
      </c>
      <c r="C451" s="209">
        <v>148810.5</v>
      </c>
      <c r="D451" s="209">
        <v>0</v>
      </c>
      <c r="E451" s="209">
        <v>0</v>
      </c>
      <c r="F451" s="209">
        <v>148810.5</v>
      </c>
      <c r="G451" s="242">
        <v>-148810.5</v>
      </c>
      <c r="H451" s="239"/>
      <c r="I451" s="239"/>
      <c r="J451" s="210">
        <v>0</v>
      </c>
      <c r="K451" s="209">
        <v>0</v>
      </c>
      <c r="L451" s="209">
        <v>-148810.5</v>
      </c>
      <c r="M451" s="209">
        <v>0</v>
      </c>
      <c r="N451" s="242">
        <v>0</v>
      </c>
      <c r="O451" s="239"/>
    </row>
    <row r="452" spans="1:15" ht="23" x14ac:dyDescent="0.35">
      <c r="A452" s="211" t="s">
        <v>1007</v>
      </c>
      <c r="B452" s="211" t="s">
        <v>1008</v>
      </c>
      <c r="C452" s="209">
        <v>57678</v>
      </c>
      <c r="D452" s="209">
        <v>0</v>
      </c>
      <c r="E452" s="209">
        <v>0</v>
      </c>
      <c r="F452" s="209">
        <v>57678</v>
      </c>
      <c r="G452" s="242">
        <v>-57678</v>
      </c>
      <c r="H452" s="239"/>
      <c r="I452" s="239"/>
      <c r="J452" s="210">
        <v>0</v>
      </c>
      <c r="K452" s="209">
        <v>0</v>
      </c>
      <c r="L452" s="209">
        <v>-57678</v>
      </c>
      <c r="M452" s="209">
        <v>0</v>
      </c>
      <c r="N452" s="242">
        <v>0</v>
      </c>
      <c r="O452" s="239"/>
    </row>
    <row r="453" spans="1:15" ht="34.5" x14ac:dyDescent="0.35">
      <c r="A453" s="211" t="s">
        <v>1009</v>
      </c>
      <c r="B453" s="211" t="s">
        <v>1010</v>
      </c>
      <c r="C453" s="209">
        <v>82090</v>
      </c>
      <c r="D453" s="209">
        <v>0</v>
      </c>
      <c r="E453" s="209">
        <v>0</v>
      </c>
      <c r="F453" s="209">
        <v>82090</v>
      </c>
      <c r="G453" s="242">
        <v>-82090</v>
      </c>
      <c r="H453" s="239"/>
      <c r="I453" s="239"/>
      <c r="J453" s="210">
        <v>0</v>
      </c>
      <c r="K453" s="209">
        <v>0</v>
      </c>
      <c r="L453" s="209">
        <v>-82090</v>
      </c>
      <c r="M453" s="209">
        <v>0</v>
      </c>
      <c r="N453" s="242">
        <v>0</v>
      </c>
      <c r="O453" s="239"/>
    </row>
    <row r="454" spans="1:15" ht="23" x14ac:dyDescent="0.35">
      <c r="A454" s="211" t="s">
        <v>1011</v>
      </c>
      <c r="B454" s="211" t="s">
        <v>1012</v>
      </c>
      <c r="C454" s="209">
        <v>268127</v>
      </c>
      <c r="D454" s="209">
        <v>0</v>
      </c>
      <c r="E454" s="209">
        <v>0</v>
      </c>
      <c r="F454" s="209">
        <v>268127</v>
      </c>
      <c r="G454" s="242">
        <v>-268127</v>
      </c>
      <c r="H454" s="239"/>
      <c r="I454" s="239"/>
      <c r="J454" s="210">
        <v>0</v>
      </c>
      <c r="K454" s="209">
        <v>0</v>
      </c>
      <c r="L454" s="209">
        <v>-268127</v>
      </c>
      <c r="M454" s="209">
        <v>0</v>
      </c>
      <c r="N454" s="242">
        <v>0</v>
      </c>
      <c r="O454" s="239"/>
    </row>
    <row r="455" spans="1:15" x14ac:dyDescent="0.35">
      <c r="A455" s="211" t="s">
        <v>1013</v>
      </c>
      <c r="B455" s="211" t="s">
        <v>1014</v>
      </c>
      <c r="C455" s="209">
        <v>42570</v>
      </c>
      <c r="D455" s="209">
        <v>0</v>
      </c>
      <c r="E455" s="209">
        <v>0</v>
      </c>
      <c r="F455" s="209">
        <v>42570</v>
      </c>
      <c r="G455" s="242">
        <v>-42570</v>
      </c>
      <c r="H455" s="239"/>
      <c r="I455" s="239"/>
      <c r="J455" s="210">
        <v>0</v>
      </c>
      <c r="K455" s="209">
        <v>0</v>
      </c>
      <c r="L455" s="209">
        <v>-42570</v>
      </c>
      <c r="M455" s="209">
        <v>0</v>
      </c>
      <c r="N455" s="242">
        <v>0</v>
      </c>
      <c r="O455" s="239"/>
    </row>
    <row r="456" spans="1:15" ht="23" x14ac:dyDescent="0.35">
      <c r="A456" s="211" t="s">
        <v>1015</v>
      </c>
      <c r="B456" s="211" t="s">
        <v>1016</v>
      </c>
      <c r="C456" s="209">
        <v>89379</v>
      </c>
      <c r="D456" s="209">
        <v>0</v>
      </c>
      <c r="E456" s="209">
        <v>0</v>
      </c>
      <c r="F456" s="209">
        <v>89379</v>
      </c>
      <c r="G456" s="242">
        <v>-89378.75</v>
      </c>
      <c r="H456" s="239"/>
      <c r="I456" s="239"/>
      <c r="J456" s="210">
        <v>0</v>
      </c>
      <c r="K456" s="209">
        <v>0</v>
      </c>
      <c r="L456" s="209">
        <v>-89378.75</v>
      </c>
      <c r="M456" s="209">
        <v>0.25</v>
      </c>
      <c r="N456" s="242">
        <v>0.25</v>
      </c>
      <c r="O456" s="239"/>
    </row>
    <row r="457" spans="1:15" ht="23" x14ac:dyDescent="0.35">
      <c r="A457" s="211" t="s">
        <v>1017</v>
      </c>
      <c r="B457" s="211" t="s">
        <v>1018</v>
      </c>
      <c r="C457" s="209">
        <v>115405</v>
      </c>
      <c r="D457" s="209">
        <v>0</v>
      </c>
      <c r="E457" s="209">
        <v>0</v>
      </c>
      <c r="F457" s="209">
        <v>115405</v>
      </c>
      <c r="G457" s="242">
        <v>-115404.63</v>
      </c>
      <c r="H457" s="239"/>
      <c r="I457" s="239"/>
      <c r="J457" s="210">
        <v>0</v>
      </c>
      <c r="K457" s="209">
        <v>0</v>
      </c>
      <c r="L457" s="209">
        <v>-115404.63</v>
      </c>
      <c r="M457" s="209">
        <v>0.37</v>
      </c>
      <c r="N457" s="242">
        <v>0.37</v>
      </c>
      <c r="O457" s="239"/>
    </row>
    <row r="458" spans="1:15" ht="23" x14ac:dyDescent="0.35">
      <c r="A458" s="211" t="s">
        <v>1019</v>
      </c>
      <c r="B458" s="211" t="s">
        <v>1020</v>
      </c>
      <c r="C458" s="209">
        <v>4425</v>
      </c>
      <c r="D458" s="209">
        <v>0</v>
      </c>
      <c r="E458" s="209">
        <v>0</v>
      </c>
      <c r="F458" s="209">
        <v>4425</v>
      </c>
      <c r="G458" s="242">
        <v>-4425</v>
      </c>
      <c r="H458" s="239"/>
      <c r="I458" s="239"/>
      <c r="J458" s="210">
        <v>0</v>
      </c>
      <c r="K458" s="209">
        <v>0</v>
      </c>
      <c r="L458" s="209">
        <v>-4425</v>
      </c>
      <c r="M458" s="209">
        <v>0</v>
      </c>
      <c r="N458" s="242">
        <v>0</v>
      </c>
      <c r="O458" s="239"/>
    </row>
    <row r="459" spans="1:15" ht="23" x14ac:dyDescent="0.35">
      <c r="A459" s="211" t="s">
        <v>1021</v>
      </c>
      <c r="B459" s="211" t="s">
        <v>1020</v>
      </c>
      <c r="C459" s="209">
        <v>4425</v>
      </c>
      <c r="D459" s="209">
        <v>0</v>
      </c>
      <c r="E459" s="209">
        <v>0</v>
      </c>
      <c r="F459" s="209">
        <v>4425</v>
      </c>
      <c r="G459" s="242">
        <v>-4425</v>
      </c>
      <c r="H459" s="239"/>
      <c r="I459" s="239"/>
      <c r="J459" s="210">
        <v>0</v>
      </c>
      <c r="K459" s="209">
        <v>0</v>
      </c>
      <c r="L459" s="209">
        <v>-4425</v>
      </c>
      <c r="M459" s="209">
        <v>0</v>
      </c>
      <c r="N459" s="242">
        <v>0</v>
      </c>
      <c r="O459" s="239"/>
    </row>
    <row r="460" spans="1:15" ht="23" x14ac:dyDescent="0.35">
      <c r="A460" s="211" t="s">
        <v>1022</v>
      </c>
      <c r="B460" s="211" t="s">
        <v>1020</v>
      </c>
      <c r="C460" s="209">
        <v>4425</v>
      </c>
      <c r="D460" s="209">
        <v>0</v>
      </c>
      <c r="E460" s="209">
        <v>0</v>
      </c>
      <c r="F460" s="209">
        <v>4425</v>
      </c>
      <c r="G460" s="242">
        <v>-4424.6000000000004</v>
      </c>
      <c r="H460" s="239"/>
      <c r="I460" s="239"/>
      <c r="J460" s="210">
        <v>0</v>
      </c>
      <c r="K460" s="209">
        <v>0</v>
      </c>
      <c r="L460" s="209">
        <v>-4424.6000000000004</v>
      </c>
      <c r="M460" s="209">
        <v>0.4</v>
      </c>
      <c r="N460" s="242">
        <v>0.4</v>
      </c>
      <c r="O460" s="239"/>
    </row>
    <row r="461" spans="1:15" ht="23" x14ac:dyDescent="0.35">
      <c r="A461" s="211" t="s">
        <v>1023</v>
      </c>
      <c r="B461" s="211" t="s">
        <v>1020</v>
      </c>
      <c r="C461" s="209">
        <v>4425</v>
      </c>
      <c r="D461" s="209">
        <v>0</v>
      </c>
      <c r="E461" s="209">
        <v>0</v>
      </c>
      <c r="F461" s="209">
        <v>4425</v>
      </c>
      <c r="G461" s="242">
        <v>-4425</v>
      </c>
      <c r="H461" s="239"/>
      <c r="I461" s="239"/>
      <c r="J461" s="210">
        <v>0</v>
      </c>
      <c r="K461" s="209">
        <v>0</v>
      </c>
      <c r="L461" s="209">
        <v>-4425</v>
      </c>
      <c r="M461" s="209">
        <v>0</v>
      </c>
      <c r="N461" s="242">
        <v>0</v>
      </c>
      <c r="O461" s="239"/>
    </row>
    <row r="462" spans="1:15" x14ac:dyDescent="0.35">
      <c r="A462" s="211" t="s">
        <v>1024</v>
      </c>
      <c r="B462" s="211" t="s">
        <v>1025</v>
      </c>
      <c r="C462" s="209">
        <v>46000</v>
      </c>
      <c r="D462" s="209">
        <v>0</v>
      </c>
      <c r="E462" s="209">
        <v>0</v>
      </c>
      <c r="F462" s="209">
        <v>46000</v>
      </c>
      <c r="G462" s="242">
        <v>-46000</v>
      </c>
      <c r="H462" s="239"/>
      <c r="I462" s="239"/>
      <c r="J462" s="210">
        <v>0</v>
      </c>
      <c r="K462" s="209">
        <v>0</v>
      </c>
      <c r="L462" s="209">
        <v>-46000</v>
      </c>
      <c r="M462" s="209">
        <v>0</v>
      </c>
      <c r="N462" s="242">
        <v>0</v>
      </c>
      <c r="O462" s="239"/>
    </row>
    <row r="463" spans="1:15" ht="23" x14ac:dyDescent="0.35">
      <c r="A463" s="211" t="s">
        <v>1026</v>
      </c>
      <c r="B463" s="211" t="s">
        <v>1027</v>
      </c>
      <c r="C463" s="209">
        <v>69045</v>
      </c>
      <c r="D463" s="209">
        <v>0</v>
      </c>
      <c r="E463" s="209">
        <v>0</v>
      </c>
      <c r="F463" s="209">
        <v>69045</v>
      </c>
      <c r="G463" s="242">
        <v>-69044.75</v>
      </c>
      <c r="H463" s="239"/>
      <c r="I463" s="239"/>
      <c r="J463" s="210">
        <v>0</v>
      </c>
      <c r="K463" s="209">
        <v>0</v>
      </c>
      <c r="L463" s="209">
        <v>-69044.75</v>
      </c>
      <c r="M463" s="209">
        <v>0.25</v>
      </c>
      <c r="N463" s="242">
        <v>0.25</v>
      </c>
      <c r="O463" s="239"/>
    </row>
    <row r="464" spans="1:15" x14ac:dyDescent="0.35">
      <c r="A464" s="211" t="s">
        <v>1028</v>
      </c>
      <c r="B464" s="211" t="s">
        <v>861</v>
      </c>
      <c r="C464" s="209">
        <v>44036</v>
      </c>
      <c r="D464" s="209">
        <v>0</v>
      </c>
      <c r="E464" s="209">
        <v>0</v>
      </c>
      <c r="F464" s="209">
        <v>44036</v>
      </c>
      <c r="G464" s="242">
        <v>-44035.89</v>
      </c>
      <c r="H464" s="239"/>
      <c r="I464" s="239"/>
      <c r="J464" s="210">
        <v>0</v>
      </c>
      <c r="K464" s="209">
        <v>0</v>
      </c>
      <c r="L464" s="209">
        <v>-44035.89</v>
      </c>
      <c r="M464" s="209">
        <v>0.11</v>
      </c>
      <c r="N464" s="242">
        <v>0.11</v>
      </c>
      <c r="O464" s="239"/>
    </row>
    <row r="465" spans="1:15" ht="23" x14ac:dyDescent="0.35">
      <c r="A465" s="211" t="s">
        <v>1029</v>
      </c>
      <c r="B465" s="211" t="s">
        <v>1030</v>
      </c>
      <c r="C465" s="209">
        <v>75350</v>
      </c>
      <c r="D465" s="209">
        <v>0</v>
      </c>
      <c r="E465" s="209">
        <v>0</v>
      </c>
      <c r="F465" s="209">
        <v>75350</v>
      </c>
      <c r="G465" s="242">
        <v>-75350</v>
      </c>
      <c r="H465" s="239"/>
      <c r="I465" s="239"/>
      <c r="J465" s="210">
        <v>0</v>
      </c>
      <c r="K465" s="209">
        <v>0</v>
      </c>
      <c r="L465" s="209">
        <v>-75350</v>
      </c>
      <c r="M465" s="209">
        <v>0</v>
      </c>
      <c r="N465" s="242">
        <v>0</v>
      </c>
      <c r="O465" s="239"/>
    </row>
    <row r="466" spans="1:15" ht="23" x14ac:dyDescent="0.35">
      <c r="A466" s="211" t="s">
        <v>1031</v>
      </c>
      <c r="B466" s="211" t="s">
        <v>1032</v>
      </c>
      <c r="C466" s="209">
        <v>75350</v>
      </c>
      <c r="D466" s="209">
        <v>0</v>
      </c>
      <c r="E466" s="209">
        <v>0</v>
      </c>
      <c r="F466" s="209">
        <v>75350</v>
      </c>
      <c r="G466" s="242">
        <v>-75350</v>
      </c>
      <c r="H466" s="239"/>
      <c r="I466" s="239"/>
      <c r="J466" s="210">
        <v>0</v>
      </c>
      <c r="K466" s="209">
        <v>0</v>
      </c>
      <c r="L466" s="209">
        <v>-75350</v>
      </c>
      <c r="M466" s="209">
        <v>0</v>
      </c>
      <c r="N466" s="242">
        <v>0</v>
      </c>
      <c r="O466" s="239"/>
    </row>
    <row r="467" spans="1:15" ht="23" x14ac:dyDescent="0.35">
      <c r="A467" s="211" t="s">
        <v>1033</v>
      </c>
      <c r="B467" s="211" t="s">
        <v>1034</v>
      </c>
      <c r="C467" s="209">
        <v>75350</v>
      </c>
      <c r="D467" s="209">
        <v>0</v>
      </c>
      <c r="E467" s="209">
        <v>0</v>
      </c>
      <c r="F467" s="209">
        <v>75350</v>
      </c>
      <c r="G467" s="242">
        <v>-75350</v>
      </c>
      <c r="H467" s="239"/>
      <c r="I467" s="239"/>
      <c r="J467" s="210">
        <v>0</v>
      </c>
      <c r="K467" s="209">
        <v>0</v>
      </c>
      <c r="L467" s="209">
        <v>-75350</v>
      </c>
      <c r="M467" s="209">
        <v>0</v>
      </c>
      <c r="N467" s="242">
        <v>0</v>
      </c>
      <c r="O467" s="239"/>
    </row>
    <row r="468" spans="1:15" ht="23" x14ac:dyDescent="0.35">
      <c r="A468" s="211" t="s">
        <v>1035</v>
      </c>
      <c r="B468" s="211" t="s">
        <v>1036</v>
      </c>
      <c r="C468" s="209">
        <v>75350</v>
      </c>
      <c r="D468" s="209">
        <v>0</v>
      </c>
      <c r="E468" s="209">
        <v>0</v>
      </c>
      <c r="F468" s="209">
        <v>75350</v>
      </c>
      <c r="G468" s="242">
        <v>-75350</v>
      </c>
      <c r="H468" s="239"/>
      <c r="I468" s="239"/>
      <c r="J468" s="210">
        <v>0</v>
      </c>
      <c r="K468" s="209">
        <v>0</v>
      </c>
      <c r="L468" s="209">
        <v>-75350</v>
      </c>
      <c r="M468" s="209">
        <v>0</v>
      </c>
      <c r="N468" s="242">
        <v>0</v>
      </c>
      <c r="O468" s="239"/>
    </row>
    <row r="469" spans="1:15" ht="23" x14ac:dyDescent="0.35">
      <c r="A469" s="211" t="s">
        <v>1037</v>
      </c>
      <c r="B469" s="211" t="s">
        <v>1030</v>
      </c>
      <c r="C469" s="209">
        <v>76383</v>
      </c>
      <c r="D469" s="209">
        <v>0</v>
      </c>
      <c r="E469" s="209">
        <v>0</v>
      </c>
      <c r="F469" s="209">
        <v>76383</v>
      </c>
      <c r="G469" s="242">
        <v>-76383</v>
      </c>
      <c r="H469" s="239"/>
      <c r="I469" s="239"/>
      <c r="J469" s="210">
        <v>0</v>
      </c>
      <c r="K469" s="209">
        <v>0</v>
      </c>
      <c r="L469" s="209">
        <v>-76383</v>
      </c>
      <c r="M469" s="209">
        <v>0</v>
      </c>
      <c r="N469" s="242">
        <v>0</v>
      </c>
      <c r="O469" s="239"/>
    </row>
    <row r="470" spans="1:15" ht="23" x14ac:dyDescent="0.35">
      <c r="A470" s="211" t="s">
        <v>1038</v>
      </c>
      <c r="B470" s="211" t="s">
        <v>1032</v>
      </c>
      <c r="C470" s="209">
        <v>76383</v>
      </c>
      <c r="D470" s="209">
        <v>0</v>
      </c>
      <c r="E470" s="209">
        <v>0</v>
      </c>
      <c r="F470" s="209">
        <v>76383</v>
      </c>
      <c r="G470" s="242">
        <v>-76383</v>
      </c>
      <c r="H470" s="239"/>
      <c r="I470" s="239"/>
      <c r="J470" s="210">
        <v>0</v>
      </c>
      <c r="K470" s="209">
        <v>0</v>
      </c>
      <c r="L470" s="209">
        <v>-76383</v>
      </c>
      <c r="M470" s="209">
        <v>0</v>
      </c>
      <c r="N470" s="242">
        <v>0</v>
      </c>
      <c r="O470" s="239"/>
    </row>
    <row r="471" spans="1:15" ht="23" x14ac:dyDescent="0.35">
      <c r="A471" s="211" t="s">
        <v>1039</v>
      </c>
      <c r="B471" s="211" t="s">
        <v>1034</v>
      </c>
      <c r="C471" s="209">
        <v>76383</v>
      </c>
      <c r="D471" s="209">
        <v>0</v>
      </c>
      <c r="E471" s="209">
        <v>0</v>
      </c>
      <c r="F471" s="209">
        <v>76383</v>
      </c>
      <c r="G471" s="242">
        <v>-76383</v>
      </c>
      <c r="H471" s="239"/>
      <c r="I471" s="239"/>
      <c r="J471" s="210">
        <v>0</v>
      </c>
      <c r="K471" s="209">
        <v>0</v>
      </c>
      <c r="L471" s="209">
        <v>-76383</v>
      </c>
      <c r="M471" s="209">
        <v>0</v>
      </c>
      <c r="N471" s="242">
        <v>0</v>
      </c>
      <c r="O471" s="239"/>
    </row>
    <row r="472" spans="1:15" ht="23" x14ac:dyDescent="0.35">
      <c r="A472" s="211" t="s">
        <v>1040</v>
      </c>
      <c r="B472" s="211" t="s">
        <v>1041</v>
      </c>
      <c r="C472" s="209">
        <v>277198</v>
      </c>
      <c r="D472" s="209">
        <v>0</v>
      </c>
      <c r="E472" s="209">
        <v>0</v>
      </c>
      <c r="F472" s="209">
        <v>277198</v>
      </c>
      <c r="G472" s="242">
        <v>-277198</v>
      </c>
      <c r="H472" s="239"/>
      <c r="I472" s="239"/>
      <c r="J472" s="210">
        <v>0</v>
      </c>
      <c r="K472" s="209">
        <v>0</v>
      </c>
      <c r="L472" s="209">
        <v>-277198</v>
      </c>
      <c r="M472" s="209">
        <v>0</v>
      </c>
      <c r="N472" s="242">
        <v>0</v>
      </c>
      <c r="O472" s="239"/>
    </row>
    <row r="473" spans="1:15" ht="23" x14ac:dyDescent="0.35">
      <c r="A473" s="211" t="s">
        <v>1042</v>
      </c>
      <c r="B473" s="211" t="s">
        <v>1043</v>
      </c>
      <c r="C473" s="209">
        <v>33519</v>
      </c>
      <c r="D473" s="209">
        <v>0</v>
      </c>
      <c r="E473" s="209">
        <v>0</v>
      </c>
      <c r="F473" s="209">
        <v>33519</v>
      </c>
      <c r="G473" s="242">
        <v>-33519</v>
      </c>
      <c r="H473" s="239"/>
      <c r="I473" s="239"/>
      <c r="J473" s="210">
        <v>0</v>
      </c>
      <c r="K473" s="209">
        <v>0</v>
      </c>
      <c r="L473" s="209">
        <v>-33519</v>
      </c>
      <c r="M473" s="209">
        <v>0</v>
      </c>
      <c r="N473" s="242">
        <v>0</v>
      </c>
      <c r="O473" s="239"/>
    </row>
    <row r="474" spans="1:15" ht="23" x14ac:dyDescent="0.35">
      <c r="A474" s="211" t="s">
        <v>1044</v>
      </c>
      <c r="B474" s="211" t="s">
        <v>1045</v>
      </c>
      <c r="C474" s="209">
        <v>120684</v>
      </c>
      <c r="D474" s="209">
        <v>0</v>
      </c>
      <c r="E474" s="209">
        <v>0</v>
      </c>
      <c r="F474" s="209">
        <v>120684</v>
      </c>
      <c r="G474" s="242">
        <v>-120683.6</v>
      </c>
      <c r="H474" s="239"/>
      <c r="I474" s="239"/>
      <c r="J474" s="210">
        <v>0</v>
      </c>
      <c r="K474" s="209">
        <v>0</v>
      </c>
      <c r="L474" s="209">
        <v>-120683.6</v>
      </c>
      <c r="M474" s="209">
        <v>0.4</v>
      </c>
      <c r="N474" s="242">
        <v>0.4</v>
      </c>
      <c r="O474" s="239"/>
    </row>
    <row r="475" spans="1:15" x14ac:dyDescent="0.35">
      <c r="A475" s="211" t="s">
        <v>1046</v>
      </c>
      <c r="B475" s="211" t="s">
        <v>1047</v>
      </c>
      <c r="C475" s="209">
        <v>116000</v>
      </c>
      <c r="D475" s="209">
        <v>0</v>
      </c>
      <c r="E475" s="209">
        <v>0</v>
      </c>
      <c r="F475" s="209">
        <v>116000</v>
      </c>
      <c r="G475" s="242">
        <v>-115999.62</v>
      </c>
      <c r="H475" s="239"/>
      <c r="I475" s="239"/>
      <c r="J475" s="210">
        <v>0</v>
      </c>
      <c r="K475" s="209">
        <v>0</v>
      </c>
      <c r="L475" s="209">
        <v>-115999.62</v>
      </c>
      <c r="M475" s="209">
        <v>0.38</v>
      </c>
      <c r="N475" s="242">
        <v>0.38</v>
      </c>
      <c r="O475" s="239"/>
    </row>
    <row r="476" spans="1:15" x14ac:dyDescent="0.35">
      <c r="A476" s="211" t="s">
        <v>1048</v>
      </c>
      <c r="B476" s="211" t="s">
        <v>861</v>
      </c>
      <c r="C476" s="209">
        <v>82355</v>
      </c>
      <c r="D476" s="209">
        <v>0</v>
      </c>
      <c r="E476" s="209">
        <v>0</v>
      </c>
      <c r="F476" s="209">
        <v>82355</v>
      </c>
      <c r="G476" s="242">
        <v>-82354.87</v>
      </c>
      <c r="H476" s="239"/>
      <c r="I476" s="239"/>
      <c r="J476" s="210">
        <v>0</v>
      </c>
      <c r="K476" s="209">
        <v>0</v>
      </c>
      <c r="L476" s="209">
        <v>-82354.87</v>
      </c>
      <c r="M476" s="209">
        <v>0.13</v>
      </c>
      <c r="N476" s="242">
        <v>0.13</v>
      </c>
      <c r="O476" s="239"/>
    </row>
    <row r="477" spans="1:15" x14ac:dyDescent="0.35">
      <c r="A477" s="211" t="s">
        <v>1049</v>
      </c>
      <c r="B477" s="211" t="s">
        <v>1050</v>
      </c>
      <c r="C477" s="209">
        <v>22967</v>
      </c>
      <c r="D477" s="209">
        <v>0</v>
      </c>
      <c r="E477" s="209">
        <v>0</v>
      </c>
      <c r="F477" s="209">
        <v>22967</v>
      </c>
      <c r="G477" s="242">
        <v>-22966.67</v>
      </c>
      <c r="H477" s="239"/>
      <c r="I477" s="239"/>
      <c r="J477" s="210">
        <v>0</v>
      </c>
      <c r="K477" s="209">
        <v>0</v>
      </c>
      <c r="L477" s="209">
        <v>-22966.67</v>
      </c>
      <c r="M477" s="209">
        <v>0.33</v>
      </c>
      <c r="N477" s="242">
        <v>0.33</v>
      </c>
      <c r="O477" s="239"/>
    </row>
    <row r="478" spans="1:15" x14ac:dyDescent="0.35">
      <c r="A478" s="211" t="s">
        <v>1051</v>
      </c>
      <c r="B478" s="211" t="s">
        <v>1052</v>
      </c>
      <c r="C478" s="209">
        <v>22967</v>
      </c>
      <c r="D478" s="209">
        <v>0</v>
      </c>
      <c r="E478" s="209">
        <v>0</v>
      </c>
      <c r="F478" s="209">
        <v>22967</v>
      </c>
      <c r="G478" s="242">
        <v>-22966.67</v>
      </c>
      <c r="H478" s="239"/>
      <c r="I478" s="239"/>
      <c r="J478" s="210">
        <v>0</v>
      </c>
      <c r="K478" s="209">
        <v>0</v>
      </c>
      <c r="L478" s="209">
        <v>-22966.67</v>
      </c>
      <c r="M478" s="209">
        <v>0.33</v>
      </c>
      <c r="N478" s="242">
        <v>0.33</v>
      </c>
      <c r="O478" s="239"/>
    </row>
    <row r="479" spans="1:15" x14ac:dyDescent="0.35">
      <c r="A479" s="211" t="s">
        <v>1053</v>
      </c>
      <c r="B479" s="211" t="s">
        <v>1054</v>
      </c>
      <c r="C479" s="209">
        <v>22966</v>
      </c>
      <c r="D479" s="209">
        <v>0</v>
      </c>
      <c r="E479" s="209">
        <v>0</v>
      </c>
      <c r="F479" s="209">
        <v>22966</v>
      </c>
      <c r="G479" s="242">
        <v>-22966</v>
      </c>
      <c r="H479" s="239"/>
      <c r="I479" s="239"/>
      <c r="J479" s="210">
        <v>0</v>
      </c>
      <c r="K479" s="209">
        <v>0</v>
      </c>
      <c r="L479" s="209">
        <v>-22966</v>
      </c>
      <c r="M479" s="209">
        <v>0</v>
      </c>
      <c r="N479" s="242">
        <v>0</v>
      </c>
      <c r="O479" s="239"/>
    </row>
    <row r="480" spans="1:15" x14ac:dyDescent="0.35">
      <c r="A480" s="211" t="s">
        <v>1055</v>
      </c>
      <c r="B480" s="211" t="s">
        <v>1056</v>
      </c>
      <c r="C480" s="209">
        <v>30354.5</v>
      </c>
      <c r="D480" s="209">
        <v>0</v>
      </c>
      <c r="E480" s="209">
        <v>0</v>
      </c>
      <c r="F480" s="209">
        <v>30354.5</v>
      </c>
      <c r="G480" s="242">
        <v>-30354.38</v>
      </c>
      <c r="H480" s="239"/>
      <c r="I480" s="239"/>
      <c r="J480" s="210">
        <v>0</v>
      </c>
      <c r="K480" s="209">
        <v>0</v>
      </c>
      <c r="L480" s="209">
        <v>-30354.38</v>
      </c>
      <c r="M480" s="209">
        <v>0.12</v>
      </c>
      <c r="N480" s="242">
        <v>0.12</v>
      </c>
      <c r="O480" s="239"/>
    </row>
    <row r="481" spans="1:15" ht="23" x14ac:dyDescent="0.35">
      <c r="A481" s="211" t="s">
        <v>1057</v>
      </c>
      <c r="B481" s="211" t="s">
        <v>1058</v>
      </c>
      <c r="C481" s="209">
        <v>39345</v>
      </c>
      <c r="D481" s="209">
        <v>0</v>
      </c>
      <c r="E481" s="209">
        <v>0</v>
      </c>
      <c r="F481" s="209">
        <v>39345</v>
      </c>
      <c r="G481" s="242">
        <v>-39344.75</v>
      </c>
      <c r="H481" s="239"/>
      <c r="I481" s="239"/>
      <c r="J481" s="210">
        <v>0</v>
      </c>
      <c r="K481" s="209">
        <v>0</v>
      </c>
      <c r="L481" s="209">
        <v>-39344.75</v>
      </c>
      <c r="M481" s="209">
        <v>0.25</v>
      </c>
      <c r="N481" s="242">
        <v>0.25</v>
      </c>
      <c r="O481" s="239"/>
    </row>
    <row r="482" spans="1:15" x14ac:dyDescent="0.35">
      <c r="A482" s="211" t="s">
        <v>1059</v>
      </c>
      <c r="B482" s="211" t="s">
        <v>1060</v>
      </c>
      <c r="C482" s="209">
        <v>494960</v>
      </c>
      <c r="D482" s="209">
        <v>0</v>
      </c>
      <c r="E482" s="209">
        <v>0</v>
      </c>
      <c r="F482" s="209">
        <v>494960</v>
      </c>
      <c r="G482" s="242">
        <v>-494960</v>
      </c>
      <c r="H482" s="239"/>
      <c r="I482" s="239"/>
      <c r="J482" s="210">
        <v>0</v>
      </c>
      <c r="K482" s="209">
        <v>0</v>
      </c>
      <c r="L482" s="209">
        <v>-494960</v>
      </c>
      <c r="M482" s="209">
        <v>0</v>
      </c>
      <c r="N482" s="242">
        <v>0</v>
      </c>
      <c r="O482" s="239"/>
    </row>
    <row r="483" spans="1:15" ht="23" x14ac:dyDescent="0.35">
      <c r="A483" s="211" t="s">
        <v>1061</v>
      </c>
      <c r="B483" s="211" t="s">
        <v>1062</v>
      </c>
      <c r="C483" s="209">
        <v>205068</v>
      </c>
      <c r="D483" s="209">
        <v>0</v>
      </c>
      <c r="E483" s="209">
        <v>0</v>
      </c>
      <c r="F483" s="209">
        <v>205068</v>
      </c>
      <c r="G483" s="242">
        <v>-136708.29</v>
      </c>
      <c r="H483" s="239"/>
      <c r="I483" s="239"/>
      <c r="J483" s="210">
        <v>-13672</v>
      </c>
      <c r="K483" s="209">
        <v>0</v>
      </c>
      <c r="L483" s="209">
        <v>-150380.29</v>
      </c>
      <c r="M483" s="209">
        <v>68359.710000000006</v>
      </c>
      <c r="N483" s="242">
        <v>54687.71</v>
      </c>
      <c r="O483" s="239"/>
    </row>
    <row r="484" spans="1:15" x14ac:dyDescent="0.35">
      <c r="A484" s="211" t="s">
        <v>1063</v>
      </c>
      <c r="B484" s="211" t="s">
        <v>1064</v>
      </c>
      <c r="C484" s="209">
        <v>52832</v>
      </c>
      <c r="D484" s="209">
        <v>0</v>
      </c>
      <c r="E484" s="209">
        <v>0</v>
      </c>
      <c r="F484" s="209">
        <v>52832</v>
      </c>
      <c r="G484" s="242">
        <v>-52832</v>
      </c>
      <c r="H484" s="239"/>
      <c r="I484" s="239"/>
      <c r="J484" s="210">
        <v>0</v>
      </c>
      <c r="K484" s="209">
        <v>0</v>
      </c>
      <c r="L484" s="209">
        <v>-52832</v>
      </c>
      <c r="M484" s="209">
        <v>0</v>
      </c>
      <c r="N484" s="242">
        <v>0</v>
      </c>
      <c r="O484" s="239"/>
    </row>
    <row r="485" spans="1:15" x14ac:dyDescent="0.35">
      <c r="A485" s="211" t="s">
        <v>1065</v>
      </c>
      <c r="B485" s="211" t="s">
        <v>979</v>
      </c>
      <c r="C485" s="209">
        <v>62560</v>
      </c>
      <c r="D485" s="209">
        <v>0</v>
      </c>
      <c r="E485" s="209">
        <v>0</v>
      </c>
      <c r="F485" s="209">
        <v>62560</v>
      </c>
      <c r="G485" s="242">
        <v>-41710.089999999997</v>
      </c>
      <c r="H485" s="239"/>
      <c r="I485" s="239"/>
      <c r="J485" s="210">
        <v>-4170</v>
      </c>
      <c r="K485" s="209">
        <v>0</v>
      </c>
      <c r="L485" s="209">
        <v>-45880.09</v>
      </c>
      <c r="M485" s="209">
        <v>20849.91</v>
      </c>
      <c r="N485" s="242">
        <v>16679.91</v>
      </c>
      <c r="O485" s="239"/>
    </row>
    <row r="486" spans="1:15" x14ac:dyDescent="0.35">
      <c r="A486" s="211" t="s">
        <v>1066</v>
      </c>
      <c r="B486" s="211" t="s">
        <v>981</v>
      </c>
      <c r="C486" s="209">
        <v>62560</v>
      </c>
      <c r="D486" s="209">
        <v>0</v>
      </c>
      <c r="E486" s="209">
        <v>0</v>
      </c>
      <c r="F486" s="209">
        <v>62560</v>
      </c>
      <c r="G486" s="242">
        <v>-41710.089999999997</v>
      </c>
      <c r="H486" s="239"/>
      <c r="I486" s="239"/>
      <c r="J486" s="210">
        <v>-4170</v>
      </c>
      <c r="K486" s="209">
        <v>0</v>
      </c>
      <c r="L486" s="209">
        <v>-45880.09</v>
      </c>
      <c r="M486" s="209">
        <v>20849.91</v>
      </c>
      <c r="N486" s="242">
        <v>16679.91</v>
      </c>
      <c r="O486" s="239"/>
    </row>
    <row r="487" spans="1:15" x14ac:dyDescent="0.35">
      <c r="A487" s="211" t="s">
        <v>1067</v>
      </c>
      <c r="B487" s="211" t="s">
        <v>1068</v>
      </c>
      <c r="C487" s="209">
        <v>62560</v>
      </c>
      <c r="D487" s="209">
        <v>0</v>
      </c>
      <c r="E487" s="209">
        <v>0</v>
      </c>
      <c r="F487" s="209">
        <v>62560</v>
      </c>
      <c r="G487" s="242">
        <v>-41710.089999999997</v>
      </c>
      <c r="H487" s="239"/>
      <c r="I487" s="239"/>
      <c r="J487" s="210">
        <v>-4170</v>
      </c>
      <c r="K487" s="209">
        <v>0</v>
      </c>
      <c r="L487" s="209">
        <v>-45880.09</v>
      </c>
      <c r="M487" s="209">
        <v>20849.91</v>
      </c>
      <c r="N487" s="242">
        <v>16679.91</v>
      </c>
      <c r="O487" s="239"/>
    </row>
    <row r="488" spans="1:15" x14ac:dyDescent="0.35">
      <c r="A488" s="211" t="s">
        <v>1069</v>
      </c>
      <c r="B488" s="211" t="s">
        <v>983</v>
      </c>
      <c r="C488" s="209">
        <v>62560</v>
      </c>
      <c r="D488" s="209">
        <v>0</v>
      </c>
      <c r="E488" s="209">
        <v>0</v>
      </c>
      <c r="F488" s="209">
        <v>62560</v>
      </c>
      <c r="G488" s="242">
        <v>-41710.089999999997</v>
      </c>
      <c r="H488" s="239"/>
      <c r="I488" s="239"/>
      <c r="J488" s="210">
        <v>-4170</v>
      </c>
      <c r="K488" s="209">
        <v>0</v>
      </c>
      <c r="L488" s="209">
        <v>-45880.09</v>
      </c>
      <c r="M488" s="209">
        <v>20849.91</v>
      </c>
      <c r="N488" s="242">
        <v>16679.91</v>
      </c>
      <c r="O488" s="239"/>
    </row>
    <row r="489" spans="1:15" x14ac:dyDescent="0.35">
      <c r="A489" s="211" t="s">
        <v>1070</v>
      </c>
      <c r="B489" s="211" t="s">
        <v>1071</v>
      </c>
      <c r="C489" s="209">
        <v>62560</v>
      </c>
      <c r="D489" s="209">
        <v>0</v>
      </c>
      <c r="E489" s="209">
        <v>0</v>
      </c>
      <c r="F489" s="209">
        <v>62560</v>
      </c>
      <c r="G489" s="242">
        <v>-41710.089999999997</v>
      </c>
      <c r="H489" s="239"/>
      <c r="I489" s="239"/>
      <c r="J489" s="210">
        <v>-4170</v>
      </c>
      <c r="K489" s="209">
        <v>0</v>
      </c>
      <c r="L489" s="209">
        <v>-45880.09</v>
      </c>
      <c r="M489" s="209">
        <v>20849.91</v>
      </c>
      <c r="N489" s="242">
        <v>16679.91</v>
      </c>
      <c r="O489" s="239"/>
    </row>
    <row r="490" spans="1:15" x14ac:dyDescent="0.35">
      <c r="A490" s="211" t="s">
        <v>1072</v>
      </c>
      <c r="B490" s="211" t="s">
        <v>1073</v>
      </c>
      <c r="C490" s="209">
        <v>62560</v>
      </c>
      <c r="D490" s="209">
        <v>0</v>
      </c>
      <c r="E490" s="209">
        <v>0</v>
      </c>
      <c r="F490" s="209">
        <v>62560</v>
      </c>
      <c r="G490" s="242">
        <v>-41710.089999999997</v>
      </c>
      <c r="H490" s="239"/>
      <c r="I490" s="239"/>
      <c r="J490" s="210">
        <v>-4170</v>
      </c>
      <c r="K490" s="209">
        <v>0</v>
      </c>
      <c r="L490" s="209">
        <v>-45880.09</v>
      </c>
      <c r="M490" s="209">
        <v>20849.91</v>
      </c>
      <c r="N490" s="242">
        <v>16679.91</v>
      </c>
      <c r="O490" s="239"/>
    </row>
    <row r="491" spans="1:15" x14ac:dyDescent="0.35">
      <c r="A491" s="211" t="s">
        <v>1074</v>
      </c>
      <c r="B491" s="211" t="s">
        <v>985</v>
      </c>
      <c r="C491" s="209">
        <v>62560</v>
      </c>
      <c r="D491" s="209">
        <v>0</v>
      </c>
      <c r="E491" s="209">
        <v>0</v>
      </c>
      <c r="F491" s="209">
        <v>62560</v>
      </c>
      <c r="G491" s="242">
        <v>-41710.089999999997</v>
      </c>
      <c r="H491" s="239"/>
      <c r="I491" s="239"/>
      <c r="J491" s="210">
        <v>-4170</v>
      </c>
      <c r="K491" s="209">
        <v>0</v>
      </c>
      <c r="L491" s="209">
        <v>-45880.09</v>
      </c>
      <c r="M491" s="209">
        <v>20849.91</v>
      </c>
      <c r="N491" s="242">
        <v>16679.91</v>
      </c>
      <c r="O491" s="239"/>
    </row>
    <row r="492" spans="1:15" x14ac:dyDescent="0.35">
      <c r="A492" s="211" t="s">
        <v>1075</v>
      </c>
      <c r="B492" s="211" t="s">
        <v>987</v>
      </c>
      <c r="C492" s="209">
        <v>62560</v>
      </c>
      <c r="D492" s="209">
        <v>0</v>
      </c>
      <c r="E492" s="209">
        <v>0</v>
      </c>
      <c r="F492" s="209">
        <v>62560</v>
      </c>
      <c r="G492" s="242">
        <v>-41710.089999999997</v>
      </c>
      <c r="H492" s="239"/>
      <c r="I492" s="239"/>
      <c r="J492" s="210">
        <v>-4170</v>
      </c>
      <c r="K492" s="209">
        <v>0</v>
      </c>
      <c r="L492" s="209">
        <v>-45880.09</v>
      </c>
      <c r="M492" s="209">
        <v>20849.91</v>
      </c>
      <c r="N492" s="242">
        <v>16679.91</v>
      </c>
      <c r="O492" s="239"/>
    </row>
    <row r="493" spans="1:15" x14ac:dyDescent="0.35">
      <c r="A493" s="211" t="s">
        <v>1076</v>
      </c>
      <c r="B493" s="211" t="s">
        <v>989</v>
      </c>
      <c r="C493" s="209">
        <v>62560</v>
      </c>
      <c r="D493" s="209">
        <v>0</v>
      </c>
      <c r="E493" s="209">
        <v>0</v>
      </c>
      <c r="F493" s="209">
        <v>62560</v>
      </c>
      <c r="G493" s="242">
        <v>-41710.089999999997</v>
      </c>
      <c r="H493" s="239"/>
      <c r="I493" s="239"/>
      <c r="J493" s="210">
        <v>-4170</v>
      </c>
      <c r="K493" s="209">
        <v>0</v>
      </c>
      <c r="L493" s="209">
        <v>-45880.09</v>
      </c>
      <c r="M493" s="209">
        <v>20849.91</v>
      </c>
      <c r="N493" s="242">
        <v>16679.91</v>
      </c>
      <c r="O493" s="239"/>
    </row>
    <row r="494" spans="1:15" x14ac:dyDescent="0.35">
      <c r="A494" s="211" t="s">
        <v>1077</v>
      </c>
      <c r="B494" s="211" t="s">
        <v>1078</v>
      </c>
      <c r="C494" s="209">
        <v>62560</v>
      </c>
      <c r="D494" s="209">
        <v>0</v>
      </c>
      <c r="E494" s="209">
        <v>0</v>
      </c>
      <c r="F494" s="209">
        <v>62560</v>
      </c>
      <c r="G494" s="242">
        <v>-41710.089999999997</v>
      </c>
      <c r="H494" s="239"/>
      <c r="I494" s="239"/>
      <c r="J494" s="210">
        <v>-4170</v>
      </c>
      <c r="K494" s="209">
        <v>0</v>
      </c>
      <c r="L494" s="209">
        <v>-45880.09</v>
      </c>
      <c r="M494" s="209">
        <v>20849.91</v>
      </c>
      <c r="N494" s="242">
        <v>16679.91</v>
      </c>
      <c r="O494" s="239"/>
    </row>
    <row r="495" spans="1:15" x14ac:dyDescent="0.35">
      <c r="A495" s="211" t="s">
        <v>1079</v>
      </c>
      <c r="B495" s="211" t="s">
        <v>1080</v>
      </c>
      <c r="C495" s="209">
        <v>62560</v>
      </c>
      <c r="D495" s="209">
        <v>0</v>
      </c>
      <c r="E495" s="209">
        <v>0</v>
      </c>
      <c r="F495" s="209">
        <v>62560</v>
      </c>
      <c r="G495" s="242">
        <v>-41710.089999999997</v>
      </c>
      <c r="H495" s="239"/>
      <c r="I495" s="239"/>
      <c r="J495" s="210">
        <v>-4170</v>
      </c>
      <c r="K495" s="209">
        <v>0</v>
      </c>
      <c r="L495" s="209">
        <v>-45880.09</v>
      </c>
      <c r="M495" s="209">
        <v>20849.91</v>
      </c>
      <c r="N495" s="242">
        <v>16679.91</v>
      </c>
      <c r="O495" s="239"/>
    </row>
    <row r="496" spans="1:15" x14ac:dyDescent="0.35">
      <c r="A496" s="211" t="s">
        <v>1081</v>
      </c>
      <c r="B496" s="211" t="s">
        <v>1082</v>
      </c>
      <c r="C496" s="209">
        <v>62560</v>
      </c>
      <c r="D496" s="209">
        <v>0</v>
      </c>
      <c r="E496" s="209">
        <v>0</v>
      </c>
      <c r="F496" s="209">
        <v>62560</v>
      </c>
      <c r="G496" s="242">
        <v>-41710.089999999997</v>
      </c>
      <c r="H496" s="239"/>
      <c r="I496" s="239"/>
      <c r="J496" s="210">
        <v>-4170</v>
      </c>
      <c r="K496" s="209">
        <v>0</v>
      </c>
      <c r="L496" s="209">
        <v>-45880.09</v>
      </c>
      <c r="M496" s="209">
        <v>20849.91</v>
      </c>
      <c r="N496" s="242">
        <v>16679.91</v>
      </c>
      <c r="O496" s="239"/>
    </row>
    <row r="497" spans="1:15" x14ac:dyDescent="0.35">
      <c r="A497" s="211" t="s">
        <v>1083</v>
      </c>
      <c r="B497" s="211" t="s">
        <v>1084</v>
      </c>
      <c r="C497" s="209">
        <v>62560</v>
      </c>
      <c r="D497" s="209">
        <v>0</v>
      </c>
      <c r="E497" s="209">
        <v>0</v>
      </c>
      <c r="F497" s="209">
        <v>62560</v>
      </c>
      <c r="G497" s="242">
        <v>-41710.089999999997</v>
      </c>
      <c r="H497" s="239"/>
      <c r="I497" s="239"/>
      <c r="J497" s="210">
        <v>-4170</v>
      </c>
      <c r="K497" s="209">
        <v>0</v>
      </c>
      <c r="L497" s="209">
        <v>-45880.09</v>
      </c>
      <c r="M497" s="209">
        <v>20849.91</v>
      </c>
      <c r="N497" s="242">
        <v>16679.91</v>
      </c>
      <c r="O497" s="239"/>
    </row>
    <row r="498" spans="1:15" x14ac:dyDescent="0.35">
      <c r="A498" s="211" t="s">
        <v>1085</v>
      </c>
      <c r="B498" s="211" t="s">
        <v>1086</v>
      </c>
      <c r="C498" s="209">
        <v>62560</v>
      </c>
      <c r="D498" s="209">
        <v>0</v>
      </c>
      <c r="E498" s="209">
        <v>0</v>
      </c>
      <c r="F498" s="209">
        <v>62560</v>
      </c>
      <c r="G498" s="242">
        <v>-41710.089999999997</v>
      </c>
      <c r="H498" s="239"/>
      <c r="I498" s="239"/>
      <c r="J498" s="210">
        <v>-4170</v>
      </c>
      <c r="K498" s="209">
        <v>0</v>
      </c>
      <c r="L498" s="209">
        <v>-45880.09</v>
      </c>
      <c r="M498" s="209">
        <v>20849.91</v>
      </c>
      <c r="N498" s="242">
        <v>16679.91</v>
      </c>
      <c r="O498" s="239"/>
    </row>
    <row r="499" spans="1:15" ht="34.5" x14ac:dyDescent="0.35">
      <c r="A499" s="211" t="s">
        <v>1087</v>
      </c>
      <c r="B499" s="211" t="s">
        <v>1088</v>
      </c>
      <c r="C499" s="209">
        <v>27910.5</v>
      </c>
      <c r="D499" s="209">
        <v>0</v>
      </c>
      <c r="E499" s="209">
        <v>0</v>
      </c>
      <c r="F499" s="209">
        <v>27910.5</v>
      </c>
      <c r="G499" s="242">
        <v>-27910.5</v>
      </c>
      <c r="H499" s="239"/>
      <c r="I499" s="239"/>
      <c r="J499" s="210">
        <v>0</v>
      </c>
      <c r="K499" s="209">
        <v>0</v>
      </c>
      <c r="L499" s="209">
        <v>-27910.5</v>
      </c>
      <c r="M499" s="209">
        <v>0</v>
      </c>
      <c r="N499" s="242">
        <v>0</v>
      </c>
      <c r="O499" s="239"/>
    </row>
    <row r="500" spans="1:15" x14ac:dyDescent="0.35">
      <c r="A500" s="211" t="s">
        <v>1089</v>
      </c>
      <c r="B500" s="211" t="s">
        <v>1090</v>
      </c>
      <c r="C500" s="209">
        <v>175800</v>
      </c>
      <c r="D500" s="209">
        <v>0</v>
      </c>
      <c r="E500" s="209">
        <v>0</v>
      </c>
      <c r="F500" s="209">
        <v>175800</v>
      </c>
      <c r="G500" s="242">
        <v>-169940</v>
      </c>
      <c r="H500" s="239"/>
      <c r="I500" s="239"/>
      <c r="J500" s="210">
        <v>-5860</v>
      </c>
      <c r="K500" s="209">
        <v>0</v>
      </c>
      <c r="L500" s="209">
        <v>-175800</v>
      </c>
      <c r="M500" s="209">
        <v>5860</v>
      </c>
      <c r="N500" s="242">
        <v>0</v>
      </c>
      <c r="O500" s="239"/>
    </row>
    <row r="501" spans="1:15" ht="23" x14ac:dyDescent="0.35">
      <c r="A501" s="211" t="s">
        <v>1091</v>
      </c>
      <c r="B501" s="211" t="s">
        <v>1092</v>
      </c>
      <c r="C501" s="209">
        <v>153529.5</v>
      </c>
      <c r="D501" s="209">
        <v>0</v>
      </c>
      <c r="E501" s="209">
        <v>0</v>
      </c>
      <c r="F501" s="209">
        <v>153529.5</v>
      </c>
      <c r="G501" s="242">
        <v>-153529.5</v>
      </c>
      <c r="H501" s="239"/>
      <c r="I501" s="239"/>
      <c r="J501" s="210">
        <v>0</v>
      </c>
      <c r="K501" s="209">
        <v>0</v>
      </c>
      <c r="L501" s="209">
        <v>-153529.5</v>
      </c>
      <c r="M501" s="209">
        <v>0</v>
      </c>
      <c r="N501" s="242">
        <v>0</v>
      </c>
      <c r="O501" s="239"/>
    </row>
    <row r="502" spans="1:15" ht="23" x14ac:dyDescent="0.35">
      <c r="A502" s="211" t="s">
        <v>1093</v>
      </c>
      <c r="B502" s="211" t="s">
        <v>1094</v>
      </c>
      <c r="C502" s="209">
        <v>586176.81000000006</v>
      </c>
      <c r="D502" s="209">
        <v>0</v>
      </c>
      <c r="E502" s="209">
        <v>0</v>
      </c>
      <c r="F502" s="209">
        <v>586176.81000000006</v>
      </c>
      <c r="G502" s="242">
        <v>-374438.96</v>
      </c>
      <c r="H502" s="239"/>
      <c r="I502" s="239"/>
      <c r="J502" s="210">
        <v>-39090</v>
      </c>
      <c r="K502" s="209">
        <v>0</v>
      </c>
      <c r="L502" s="209">
        <v>-413528.96</v>
      </c>
      <c r="M502" s="209">
        <v>211737.85</v>
      </c>
      <c r="N502" s="242">
        <v>172647.85</v>
      </c>
      <c r="O502" s="239"/>
    </row>
    <row r="503" spans="1:15" x14ac:dyDescent="0.35">
      <c r="A503" s="211" t="s">
        <v>1095</v>
      </c>
      <c r="B503" s="211" t="s">
        <v>1096</v>
      </c>
      <c r="C503" s="209">
        <v>271798.21999999997</v>
      </c>
      <c r="D503" s="209">
        <v>0</v>
      </c>
      <c r="E503" s="209">
        <v>0</v>
      </c>
      <c r="F503" s="209">
        <v>271798.21999999997</v>
      </c>
      <c r="G503" s="242">
        <v>-223478.45</v>
      </c>
      <c r="H503" s="239"/>
      <c r="I503" s="239"/>
      <c r="J503" s="210">
        <v>-18120</v>
      </c>
      <c r="K503" s="209">
        <v>0</v>
      </c>
      <c r="L503" s="209">
        <v>-241598.45</v>
      </c>
      <c r="M503" s="209">
        <v>48319.77</v>
      </c>
      <c r="N503" s="242">
        <v>30199.77</v>
      </c>
      <c r="O503" s="239"/>
    </row>
    <row r="504" spans="1:15" x14ac:dyDescent="0.35">
      <c r="A504" s="211" t="s">
        <v>1097</v>
      </c>
      <c r="B504" s="211" t="s">
        <v>1098</v>
      </c>
      <c r="C504" s="209">
        <v>86764.85</v>
      </c>
      <c r="D504" s="209">
        <v>0</v>
      </c>
      <c r="E504" s="209">
        <v>0</v>
      </c>
      <c r="F504" s="209">
        <v>86764.85</v>
      </c>
      <c r="G504" s="242">
        <v>-81703.8</v>
      </c>
      <c r="H504" s="239"/>
      <c r="I504" s="239"/>
      <c r="J504" s="210">
        <v>-5061.05</v>
      </c>
      <c r="K504" s="209">
        <v>0</v>
      </c>
      <c r="L504" s="209">
        <v>-86764.85</v>
      </c>
      <c r="M504" s="209">
        <v>5061.05</v>
      </c>
      <c r="N504" s="242">
        <v>0</v>
      </c>
      <c r="O504" s="239"/>
    </row>
    <row r="505" spans="1:15" x14ac:dyDescent="0.35">
      <c r="A505" s="211" t="s">
        <v>1099</v>
      </c>
      <c r="B505" s="211" t="s">
        <v>1100</v>
      </c>
      <c r="C505" s="209">
        <v>1000000</v>
      </c>
      <c r="D505" s="209">
        <v>0</v>
      </c>
      <c r="E505" s="209">
        <v>0</v>
      </c>
      <c r="F505" s="209">
        <v>1000000</v>
      </c>
      <c r="G505" s="242">
        <v>-933332.28</v>
      </c>
      <c r="H505" s="239"/>
      <c r="I505" s="239"/>
      <c r="J505" s="210">
        <v>-66667.72</v>
      </c>
      <c r="K505" s="209">
        <v>0</v>
      </c>
      <c r="L505" s="209">
        <v>-1000000</v>
      </c>
      <c r="M505" s="209">
        <v>66667.72</v>
      </c>
      <c r="N505" s="242">
        <v>0</v>
      </c>
      <c r="O505" s="239"/>
    </row>
    <row r="506" spans="1:15" ht="23" x14ac:dyDescent="0.35">
      <c r="A506" s="211" t="s">
        <v>1101</v>
      </c>
      <c r="B506" s="211" t="s">
        <v>1102</v>
      </c>
      <c r="C506" s="209">
        <v>69333</v>
      </c>
      <c r="D506" s="209">
        <v>0</v>
      </c>
      <c r="E506" s="209">
        <v>0</v>
      </c>
      <c r="F506" s="209">
        <v>69333</v>
      </c>
      <c r="G506" s="242">
        <v>-69333</v>
      </c>
      <c r="H506" s="239"/>
      <c r="I506" s="239"/>
      <c r="J506" s="210">
        <v>0</v>
      </c>
      <c r="K506" s="209">
        <v>0</v>
      </c>
      <c r="L506" s="209">
        <v>-69333</v>
      </c>
      <c r="M506" s="209">
        <v>0</v>
      </c>
      <c r="N506" s="242">
        <v>0</v>
      </c>
      <c r="O506" s="239"/>
    </row>
    <row r="507" spans="1:15" ht="23" x14ac:dyDescent="0.35">
      <c r="A507" s="211" t="s">
        <v>1103</v>
      </c>
      <c r="B507" s="211" t="s">
        <v>1104</v>
      </c>
      <c r="C507" s="209">
        <v>259436</v>
      </c>
      <c r="D507" s="209">
        <v>0</v>
      </c>
      <c r="E507" s="209">
        <v>0</v>
      </c>
      <c r="F507" s="209">
        <v>259436</v>
      </c>
      <c r="G507" s="242">
        <v>-242140.43</v>
      </c>
      <c r="H507" s="239"/>
      <c r="I507" s="239"/>
      <c r="J507" s="210">
        <v>-17295.57</v>
      </c>
      <c r="K507" s="209">
        <v>0</v>
      </c>
      <c r="L507" s="209">
        <v>-259436</v>
      </c>
      <c r="M507" s="209">
        <v>17295.57</v>
      </c>
      <c r="N507" s="242">
        <v>0</v>
      </c>
      <c r="O507" s="239"/>
    </row>
    <row r="508" spans="1:15" ht="23" x14ac:dyDescent="0.35">
      <c r="A508" s="211" t="s">
        <v>1105</v>
      </c>
      <c r="B508" s="211" t="s">
        <v>1106</v>
      </c>
      <c r="C508" s="209">
        <v>109900</v>
      </c>
      <c r="D508" s="209">
        <v>0</v>
      </c>
      <c r="E508" s="209">
        <v>0</v>
      </c>
      <c r="F508" s="209">
        <v>109900</v>
      </c>
      <c r="G508" s="242">
        <v>-109900</v>
      </c>
      <c r="H508" s="239"/>
      <c r="I508" s="239"/>
      <c r="J508" s="210">
        <v>0</v>
      </c>
      <c r="K508" s="209">
        <v>0</v>
      </c>
      <c r="L508" s="209">
        <v>-109900</v>
      </c>
      <c r="M508" s="209">
        <v>0</v>
      </c>
      <c r="N508" s="242">
        <v>0</v>
      </c>
      <c r="O508" s="239"/>
    </row>
    <row r="509" spans="1:15" ht="23" x14ac:dyDescent="0.35">
      <c r="A509" s="211" t="s">
        <v>1107</v>
      </c>
      <c r="B509" s="211" t="s">
        <v>1108</v>
      </c>
      <c r="C509" s="209">
        <v>228654</v>
      </c>
      <c r="D509" s="209">
        <v>0</v>
      </c>
      <c r="E509" s="209">
        <v>0</v>
      </c>
      <c r="F509" s="209">
        <v>228654</v>
      </c>
      <c r="G509" s="242">
        <v>-213409.55</v>
      </c>
      <c r="H509" s="239"/>
      <c r="I509" s="239"/>
      <c r="J509" s="210">
        <v>-15244.45</v>
      </c>
      <c r="K509" s="209">
        <v>0</v>
      </c>
      <c r="L509" s="209">
        <v>-228654</v>
      </c>
      <c r="M509" s="209">
        <v>15244.45</v>
      </c>
      <c r="N509" s="242">
        <v>0</v>
      </c>
      <c r="O509" s="239"/>
    </row>
    <row r="510" spans="1:15" x14ac:dyDescent="0.35">
      <c r="A510" s="211" t="s">
        <v>1109</v>
      </c>
      <c r="B510" s="211" t="s">
        <v>1110</v>
      </c>
      <c r="C510" s="209">
        <v>260000</v>
      </c>
      <c r="D510" s="209">
        <v>0</v>
      </c>
      <c r="E510" s="209">
        <v>0</v>
      </c>
      <c r="F510" s="209">
        <v>260000</v>
      </c>
      <c r="G510" s="242">
        <v>-242667.72</v>
      </c>
      <c r="H510" s="239"/>
      <c r="I510" s="239"/>
      <c r="J510" s="210">
        <v>-17332.28</v>
      </c>
      <c r="K510" s="209">
        <v>0</v>
      </c>
      <c r="L510" s="209">
        <v>-260000</v>
      </c>
      <c r="M510" s="209">
        <v>17332.28</v>
      </c>
      <c r="N510" s="242">
        <v>0</v>
      </c>
      <c r="O510" s="239"/>
    </row>
    <row r="511" spans="1:15" ht="23" x14ac:dyDescent="0.35">
      <c r="A511" s="211" t="s">
        <v>1111</v>
      </c>
      <c r="B511" s="211" t="s">
        <v>1112</v>
      </c>
      <c r="C511" s="209">
        <v>196732.5</v>
      </c>
      <c r="D511" s="209">
        <v>0</v>
      </c>
      <c r="E511" s="209">
        <v>0</v>
      </c>
      <c r="F511" s="209">
        <v>196732.5</v>
      </c>
      <c r="G511" s="242">
        <v>-196732.5</v>
      </c>
      <c r="H511" s="239"/>
      <c r="I511" s="239"/>
      <c r="J511" s="210">
        <v>0</v>
      </c>
      <c r="K511" s="209">
        <v>0</v>
      </c>
      <c r="L511" s="209">
        <v>-196732.5</v>
      </c>
      <c r="M511" s="209">
        <v>0</v>
      </c>
      <c r="N511" s="242">
        <v>0</v>
      </c>
      <c r="O511" s="239"/>
    </row>
    <row r="512" spans="1:15" ht="23" x14ac:dyDescent="0.35">
      <c r="A512" s="211" t="s">
        <v>1113</v>
      </c>
      <c r="B512" s="211" t="s">
        <v>1114</v>
      </c>
      <c r="C512" s="209">
        <v>42676.92</v>
      </c>
      <c r="D512" s="209">
        <v>0</v>
      </c>
      <c r="E512" s="209">
        <v>0</v>
      </c>
      <c r="F512" s="209">
        <v>42676.92</v>
      </c>
      <c r="G512" s="242">
        <v>-42676.92</v>
      </c>
      <c r="H512" s="239"/>
      <c r="I512" s="239"/>
      <c r="J512" s="210">
        <v>0</v>
      </c>
      <c r="K512" s="209">
        <v>0</v>
      </c>
      <c r="L512" s="209">
        <v>-42676.92</v>
      </c>
      <c r="M512" s="209">
        <v>0</v>
      </c>
      <c r="N512" s="242">
        <v>0</v>
      </c>
      <c r="O512" s="239"/>
    </row>
    <row r="513" spans="1:15" ht="23" x14ac:dyDescent="0.35">
      <c r="A513" s="211" t="s">
        <v>1115</v>
      </c>
      <c r="B513" s="211" t="s">
        <v>1116</v>
      </c>
      <c r="C513" s="209">
        <v>142269.65</v>
      </c>
      <c r="D513" s="209">
        <v>0</v>
      </c>
      <c r="E513" s="209">
        <v>0</v>
      </c>
      <c r="F513" s="209">
        <v>142269.65</v>
      </c>
      <c r="G513" s="242">
        <v>-130414.86</v>
      </c>
      <c r="H513" s="239"/>
      <c r="I513" s="239"/>
      <c r="J513" s="210">
        <v>-11854.79</v>
      </c>
      <c r="K513" s="209">
        <v>0</v>
      </c>
      <c r="L513" s="209">
        <v>-142269.65</v>
      </c>
      <c r="M513" s="209">
        <v>11854.79</v>
      </c>
      <c r="N513" s="242">
        <v>0</v>
      </c>
      <c r="O513" s="239"/>
    </row>
    <row r="514" spans="1:15" x14ac:dyDescent="0.35">
      <c r="A514" s="211" t="s">
        <v>1117</v>
      </c>
      <c r="B514" s="211" t="s">
        <v>861</v>
      </c>
      <c r="C514" s="209">
        <v>22820.75</v>
      </c>
      <c r="D514" s="209">
        <v>0</v>
      </c>
      <c r="E514" s="209">
        <v>0</v>
      </c>
      <c r="F514" s="209">
        <v>22820.75</v>
      </c>
      <c r="G514" s="242">
        <v>-20915.39</v>
      </c>
      <c r="H514" s="239"/>
      <c r="I514" s="239"/>
      <c r="J514" s="210">
        <v>-1905.36</v>
      </c>
      <c r="K514" s="209">
        <v>0</v>
      </c>
      <c r="L514" s="209">
        <v>-22820.75</v>
      </c>
      <c r="M514" s="209">
        <v>1905.36</v>
      </c>
      <c r="N514" s="242">
        <v>0</v>
      </c>
      <c r="O514" s="239"/>
    </row>
    <row r="515" spans="1:15" x14ac:dyDescent="0.35">
      <c r="A515" s="211" t="s">
        <v>1118</v>
      </c>
      <c r="B515" s="211" t="s">
        <v>861</v>
      </c>
      <c r="C515" s="209">
        <v>28030.66</v>
      </c>
      <c r="D515" s="209">
        <v>0</v>
      </c>
      <c r="E515" s="209">
        <v>0</v>
      </c>
      <c r="F515" s="209">
        <v>28030.66</v>
      </c>
      <c r="G515" s="242">
        <v>-25690.38</v>
      </c>
      <c r="H515" s="239"/>
      <c r="I515" s="239"/>
      <c r="J515" s="210">
        <v>-2340.2800000000002</v>
      </c>
      <c r="K515" s="209">
        <v>0</v>
      </c>
      <c r="L515" s="209">
        <v>-28030.66</v>
      </c>
      <c r="M515" s="209">
        <v>2340.2800000000002</v>
      </c>
      <c r="N515" s="242">
        <v>0</v>
      </c>
      <c r="O515" s="239"/>
    </row>
    <row r="516" spans="1:15" x14ac:dyDescent="0.35">
      <c r="A516" s="211" t="s">
        <v>1119</v>
      </c>
      <c r="B516" s="211" t="s">
        <v>861</v>
      </c>
      <c r="C516" s="209">
        <v>45641.36</v>
      </c>
      <c r="D516" s="209">
        <v>0</v>
      </c>
      <c r="E516" s="209">
        <v>0</v>
      </c>
      <c r="F516" s="209">
        <v>45641.36</v>
      </c>
      <c r="G516" s="242">
        <v>-41827.65</v>
      </c>
      <c r="H516" s="239"/>
      <c r="I516" s="239"/>
      <c r="J516" s="210">
        <v>-3813.71</v>
      </c>
      <c r="K516" s="209">
        <v>0</v>
      </c>
      <c r="L516" s="209">
        <v>-45641.36</v>
      </c>
      <c r="M516" s="209">
        <v>3813.71</v>
      </c>
      <c r="N516" s="242">
        <v>0</v>
      </c>
      <c r="O516" s="239"/>
    </row>
    <row r="517" spans="1:15" x14ac:dyDescent="0.35">
      <c r="A517" s="211" t="s">
        <v>1120</v>
      </c>
      <c r="B517" s="211" t="s">
        <v>1121</v>
      </c>
      <c r="C517" s="209">
        <v>66500</v>
      </c>
      <c r="D517" s="209">
        <v>0</v>
      </c>
      <c r="E517" s="209">
        <v>0</v>
      </c>
      <c r="F517" s="209">
        <v>66500</v>
      </c>
      <c r="G517" s="242">
        <v>-40635.480000000003</v>
      </c>
      <c r="H517" s="239"/>
      <c r="I517" s="239"/>
      <c r="J517" s="210">
        <v>-4434</v>
      </c>
      <c r="K517" s="209">
        <v>0</v>
      </c>
      <c r="L517" s="209">
        <v>-45069.48</v>
      </c>
      <c r="M517" s="209">
        <v>25864.52</v>
      </c>
      <c r="N517" s="242">
        <v>21430.52</v>
      </c>
      <c r="O517" s="239"/>
    </row>
    <row r="518" spans="1:15" x14ac:dyDescent="0.35">
      <c r="A518" s="211" t="s">
        <v>1122</v>
      </c>
      <c r="B518" s="211" t="s">
        <v>1123</v>
      </c>
      <c r="C518" s="209">
        <v>66500</v>
      </c>
      <c r="D518" s="209">
        <v>0</v>
      </c>
      <c r="E518" s="209">
        <v>0</v>
      </c>
      <c r="F518" s="209">
        <v>66500</v>
      </c>
      <c r="G518" s="242">
        <v>-40635.480000000003</v>
      </c>
      <c r="H518" s="239"/>
      <c r="I518" s="239"/>
      <c r="J518" s="210">
        <v>-4434</v>
      </c>
      <c r="K518" s="209">
        <v>0</v>
      </c>
      <c r="L518" s="209">
        <v>-45069.48</v>
      </c>
      <c r="M518" s="209">
        <v>25864.52</v>
      </c>
      <c r="N518" s="242">
        <v>21430.52</v>
      </c>
      <c r="O518" s="239"/>
    </row>
    <row r="519" spans="1:15" x14ac:dyDescent="0.35">
      <c r="A519" s="211" t="s">
        <v>1124</v>
      </c>
      <c r="B519" s="211" t="s">
        <v>1125</v>
      </c>
      <c r="C519" s="209">
        <v>66500</v>
      </c>
      <c r="D519" s="209">
        <v>0</v>
      </c>
      <c r="E519" s="209">
        <v>0</v>
      </c>
      <c r="F519" s="209">
        <v>66500</v>
      </c>
      <c r="G519" s="242">
        <v>-40635.480000000003</v>
      </c>
      <c r="H519" s="239"/>
      <c r="I519" s="239"/>
      <c r="J519" s="210">
        <v>-4434</v>
      </c>
      <c r="K519" s="209">
        <v>0</v>
      </c>
      <c r="L519" s="209">
        <v>-45069.48</v>
      </c>
      <c r="M519" s="209">
        <v>25864.52</v>
      </c>
      <c r="N519" s="242">
        <v>21430.52</v>
      </c>
      <c r="O519" s="239"/>
    </row>
    <row r="520" spans="1:15" ht="23" x14ac:dyDescent="0.35">
      <c r="A520" s="211" t="s">
        <v>1126</v>
      </c>
      <c r="B520" s="211" t="s">
        <v>1127</v>
      </c>
      <c r="C520" s="209">
        <v>66500</v>
      </c>
      <c r="D520" s="209">
        <v>0</v>
      </c>
      <c r="E520" s="209">
        <v>0</v>
      </c>
      <c r="F520" s="209">
        <v>66500</v>
      </c>
      <c r="G520" s="242">
        <v>-40635.480000000003</v>
      </c>
      <c r="H520" s="239"/>
      <c r="I520" s="239"/>
      <c r="J520" s="210">
        <v>-4434</v>
      </c>
      <c r="K520" s="209">
        <v>0</v>
      </c>
      <c r="L520" s="209">
        <v>-45069.48</v>
      </c>
      <c r="M520" s="209">
        <v>25864.52</v>
      </c>
      <c r="N520" s="242">
        <v>21430.52</v>
      </c>
      <c r="O520" s="239"/>
    </row>
    <row r="521" spans="1:15" ht="23" x14ac:dyDescent="0.35">
      <c r="A521" s="211" t="s">
        <v>1128</v>
      </c>
      <c r="B521" s="211" t="s">
        <v>1129</v>
      </c>
      <c r="C521" s="209">
        <v>66500</v>
      </c>
      <c r="D521" s="209">
        <v>0</v>
      </c>
      <c r="E521" s="209">
        <v>0</v>
      </c>
      <c r="F521" s="209">
        <v>66500</v>
      </c>
      <c r="G521" s="242">
        <v>-40635.480000000003</v>
      </c>
      <c r="H521" s="239"/>
      <c r="I521" s="239"/>
      <c r="J521" s="210">
        <v>-4434</v>
      </c>
      <c r="K521" s="209">
        <v>0</v>
      </c>
      <c r="L521" s="209">
        <v>-45069.48</v>
      </c>
      <c r="M521" s="209">
        <v>25864.52</v>
      </c>
      <c r="N521" s="242">
        <v>21430.52</v>
      </c>
      <c r="O521" s="239"/>
    </row>
    <row r="522" spans="1:15" ht="23" x14ac:dyDescent="0.35">
      <c r="A522" s="211" t="s">
        <v>1130</v>
      </c>
      <c r="B522" s="211" t="s">
        <v>1131</v>
      </c>
      <c r="C522" s="209">
        <v>424000</v>
      </c>
      <c r="D522" s="209">
        <v>0</v>
      </c>
      <c r="E522" s="209">
        <v>0</v>
      </c>
      <c r="F522" s="209">
        <v>424000</v>
      </c>
      <c r="G522" s="242">
        <v>-194340.39</v>
      </c>
      <c r="H522" s="239"/>
      <c r="I522" s="239"/>
      <c r="J522" s="210">
        <v>-21200</v>
      </c>
      <c r="K522" s="209">
        <v>0</v>
      </c>
      <c r="L522" s="209">
        <v>-215540.39</v>
      </c>
      <c r="M522" s="209">
        <v>229659.61</v>
      </c>
      <c r="N522" s="242">
        <v>208459.61</v>
      </c>
      <c r="O522" s="239"/>
    </row>
    <row r="523" spans="1:15" ht="23" x14ac:dyDescent="0.35">
      <c r="A523" s="211" t="s">
        <v>1132</v>
      </c>
      <c r="B523" s="211" t="s">
        <v>1133</v>
      </c>
      <c r="C523" s="209">
        <v>68500</v>
      </c>
      <c r="D523" s="209">
        <v>0</v>
      </c>
      <c r="E523" s="209">
        <v>0</v>
      </c>
      <c r="F523" s="209">
        <v>68500</v>
      </c>
      <c r="G523" s="242">
        <v>-41484.959999999999</v>
      </c>
      <c r="H523" s="239"/>
      <c r="I523" s="239"/>
      <c r="J523" s="210">
        <v>-4566</v>
      </c>
      <c r="K523" s="209">
        <v>0</v>
      </c>
      <c r="L523" s="209">
        <v>-46050.96</v>
      </c>
      <c r="M523" s="209">
        <v>27015.040000000001</v>
      </c>
      <c r="N523" s="242">
        <v>22449.040000000001</v>
      </c>
      <c r="O523" s="239"/>
    </row>
    <row r="524" spans="1:15" ht="23" x14ac:dyDescent="0.35">
      <c r="A524" s="211" t="s">
        <v>1134</v>
      </c>
      <c r="B524" s="211" t="s">
        <v>1135</v>
      </c>
      <c r="C524" s="209">
        <v>68500</v>
      </c>
      <c r="D524" s="209">
        <v>0</v>
      </c>
      <c r="E524" s="209">
        <v>0</v>
      </c>
      <c r="F524" s="209">
        <v>68500</v>
      </c>
      <c r="G524" s="242">
        <v>-41484.959999999999</v>
      </c>
      <c r="H524" s="239"/>
      <c r="I524" s="239"/>
      <c r="J524" s="210">
        <v>-4566</v>
      </c>
      <c r="K524" s="209">
        <v>0</v>
      </c>
      <c r="L524" s="209">
        <v>-46050.96</v>
      </c>
      <c r="M524" s="209">
        <v>27015.040000000001</v>
      </c>
      <c r="N524" s="242">
        <v>22449.040000000001</v>
      </c>
      <c r="O524" s="239"/>
    </row>
    <row r="525" spans="1:15" ht="23" x14ac:dyDescent="0.35">
      <c r="A525" s="211" t="s">
        <v>1136</v>
      </c>
      <c r="B525" s="211" t="s">
        <v>1137</v>
      </c>
      <c r="C525" s="209">
        <v>68500</v>
      </c>
      <c r="D525" s="209">
        <v>0</v>
      </c>
      <c r="E525" s="209">
        <v>0</v>
      </c>
      <c r="F525" s="209">
        <v>68500</v>
      </c>
      <c r="G525" s="242">
        <v>-41484.959999999999</v>
      </c>
      <c r="H525" s="239"/>
      <c r="I525" s="239"/>
      <c r="J525" s="210">
        <v>-4566</v>
      </c>
      <c r="K525" s="209">
        <v>0</v>
      </c>
      <c r="L525" s="209">
        <v>-46050.96</v>
      </c>
      <c r="M525" s="209">
        <v>27015.040000000001</v>
      </c>
      <c r="N525" s="242">
        <v>22449.040000000001</v>
      </c>
      <c r="O525" s="239"/>
    </row>
    <row r="526" spans="1:15" x14ac:dyDescent="0.35">
      <c r="A526" s="211" t="s">
        <v>1138</v>
      </c>
      <c r="B526" s="211" t="s">
        <v>1139</v>
      </c>
      <c r="C526" s="209">
        <v>68500</v>
      </c>
      <c r="D526" s="209">
        <v>0</v>
      </c>
      <c r="E526" s="209">
        <v>0</v>
      </c>
      <c r="F526" s="209">
        <v>68500</v>
      </c>
      <c r="G526" s="242">
        <v>-41484.959999999999</v>
      </c>
      <c r="H526" s="239"/>
      <c r="I526" s="239"/>
      <c r="J526" s="210">
        <v>-4566</v>
      </c>
      <c r="K526" s="209">
        <v>0</v>
      </c>
      <c r="L526" s="209">
        <v>-46050.96</v>
      </c>
      <c r="M526" s="209">
        <v>27015.040000000001</v>
      </c>
      <c r="N526" s="242">
        <v>22449.040000000001</v>
      </c>
      <c r="O526" s="239"/>
    </row>
    <row r="527" spans="1:15" x14ac:dyDescent="0.35">
      <c r="A527" s="211" t="s">
        <v>1140</v>
      </c>
      <c r="B527" s="211" t="s">
        <v>1141</v>
      </c>
      <c r="C527" s="209">
        <v>68500</v>
      </c>
      <c r="D527" s="209">
        <v>0</v>
      </c>
      <c r="E527" s="209">
        <v>0</v>
      </c>
      <c r="F527" s="209">
        <v>68500</v>
      </c>
      <c r="G527" s="242">
        <v>-41484.959999999999</v>
      </c>
      <c r="H527" s="239"/>
      <c r="I527" s="239"/>
      <c r="J527" s="210">
        <v>-4566</v>
      </c>
      <c r="K527" s="209">
        <v>0</v>
      </c>
      <c r="L527" s="209">
        <v>-46050.96</v>
      </c>
      <c r="M527" s="209">
        <v>27015.040000000001</v>
      </c>
      <c r="N527" s="242">
        <v>22449.040000000001</v>
      </c>
      <c r="O527" s="239"/>
    </row>
    <row r="528" spans="1:15" x14ac:dyDescent="0.35">
      <c r="A528" s="211" t="s">
        <v>1142</v>
      </c>
      <c r="B528" s="211" t="s">
        <v>1143</v>
      </c>
      <c r="C528" s="209">
        <v>68500</v>
      </c>
      <c r="D528" s="209">
        <v>0</v>
      </c>
      <c r="E528" s="209">
        <v>0</v>
      </c>
      <c r="F528" s="209">
        <v>68500</v>
      </c>
      <c r="G528" s="242">
        <v>-41484.959999999999</v>
      </c>
      <c r="H528" s="239"/>
      <c r="I528" s="239"/>
      <c r="J528" s="210">
        <v>-4566</v>
      </c>
      <c r="K528" s="209">
        <v>0</v>
      </c>
      <c r="L528" s="209">
        <v>-46050.96</v>
      </c>
      <c r="M528" s="209">
        <v>27015.040000000001</v>
      </c>
      <c r="N528" s="242">
        <v>22449.040000000001</v>
      </c>
      <c r="O528" s="239"/>
    </row>
    <row r="529" spans="1:15" x14ac:dyDescent="0.35">
      <c r="A529" s="211" t="s">
        <v>1144</v>
      </c>
      <c r="B529" s="211" t="s">
        <v>1145</v>
      </c>
      <c r="C529" s="209">
        <v>68500</v>
      </c>
      <c r="D529" s="209">
        <v>0</v>
      </c>
      <c r="E529" s="209">
        <v>0</v>
      </c>
      <c r="F529" s="209">
        <v>68500</v>
      </c>
      <c r="G529" s="242">
        <v>-41484.959999999999</v>
      </c>
      <c r="H529" s="239"/>
      <c r="I529" s="239"/>
      <c r="J529" s="210">
        <v>-4566</v>
      </c>
      <c r="K529" s="209">
        <v>0</v>
      </c>
      <c r="L529" s="209">
        <v>-46050.96</v>
      </c>
      <c r="M529" s="209">
        <v>27015.040000000001</v>
      </c>
      <c r="N529" s="242">
        <v>22449.040000000001</v>
      </c>
      <c r="O529" s="239"/>
    </row>
    <row r="530" spans="1:15" x14ac:dyDescent="0.35">
      <c r="A530" s="211" t="s">
        <v>1146</v>
      </c>
      <c r="B530" s="211" t="s">
        <v>1147</v>
      </c>
      <c r="C530" s="209">
        <v>68500</v>
      </c>
      <c r="D530" s="209">
        <v>0</v>
      </c>
      <c r="E530" s="209">
        <v>0</v>
      </c>
      <c r="F530" s="209">
        <v>68500</v>
      </c>
      <c r="G530" s="242">
        <v>-41484.959999999999</v>
      </c>
      <c r="H530" s="239"/>
      <c r="I530" s="239"/>
      <c r="J530" s="210">
        <v>-4566</v>
      </c>
      <c r="K530" s="209">
        <v>0</v>
      </c>
      <c r="L530" s="209">
        <v>-46050.96</v>
      </c>
      <c r="M530" s="209">
        <v>27015.040000000001</v>
      </c>
      <c r="N530" s="242">
        <v>22449.040000000001</v>
      </c>
      <c r="O530" s="239"/>
    </row>
    <row r="531" spans="1:15" x14ac:dyDescent="0.35">
      <c r="A531" s="211" t="s">
        <v>1148</v>
      </c>
      <c r="B531" s="211" t="s">
        <v>1149</v>
      </c>
      <c r="C531" s="209">
        <v>68500</v>
      </c>
      <c r="D531" s="209">
        <v>0</v>
      </c>
      <c r="E531" s="209">
        <v>0</v>
      </c>
      <c r="F531" s="209">
        <v>68500</v>
      </c>
      <c r="G531" s="242">
        <v>-41484.959999999999</v>
      </c>
      <c r="H531" s="239"/>
      <c r="I531" s="239"/>
      <c r="J531" s="210">
        <v>-4566</v>
      </c>
      <c r="K531" s="209">
        <v>0</v>
      </c>
      <c r="L531" s="209">
        <v>-46050.96</v>
      </c>
      <c r="M531" s="209">
        <v>27015.040000000001</v>
      </c>
      <c r="N531" s="242">
        <v>22449.040000000001</v>
      </c>
      <c r="O531" s="239"/>
    </row>
    <row r="532" spans="1:15" x14ac:dyDescent="0.35">
      <c r="A532" s="211" t="s">
        <v>1150</v>
      </c>
      <c r="B532" s="211" t="s">
        <v>1151</v>
      </c>
      <c r="C532" s="209">
        <v>68500</v>
      </c>
      <c r="D532" s="209">
        <v>0</v>
      </c>
      <c r="E532" s="209">
        <v>0</v>
      </c>
      <c r="F532" s="209">
        <v>68500</v>
      </c>
      <c r="G532" s="242">
        <v>-41484.959999999999</v>
      </c>
      <c r="H532" s="239"/>
      <c r="I532" s="239"/>
      <c r="J532" s="210">
        <v>-4566</v>
      </c>
      <c r="K532" s="209">
        <v>0</v>
      </c>
      <c r="L532" s="209">
        <v>-46050.96</v>
      </c>
      <c r="M532" s="209">
        <v>27015.040000000001</v>
      </c>
      <c r="N532" s="242">
        <v>22449.040000000001</v>
      </c>
      <c r="O532" s="239"/>
    </row>
    <row r="533" spans="1:15" x14ac:dyDescent="0.35">
      <c r="A533" s="211" t="s">
        <v>1152</v>
      </c>
      <c r="B533" s="211" t="s">
        <v>1153</v>
      </c>
      <c r="C533" s="209">
        <v>28000</v>
      </c>
      <c r="D533" s="209">
        <v>0</v>
      </c>
      <c r="E533" s="209">
        <v>0</v>
      </c>
      <c r="F533" s="209">
        <v>28000</v>
      </c>
      <c r="G533" s="242">
        <v>-28000</v>
      </c>
      <c r="H533" s="239"/>
      <c r="I533" s="239"/>
      <c r="J533" s="210">
        <v>0</v>
      </c>
      <c r="K533" s="209">
        <v>0</v>
      </c>
      <c r="L533" s="209">
        <v>-28000</v>
      </c>
      <c r="M533" s="209">
        <v>0</v>
      </c>
      <c r="N533" s="242">
        <v>0</v>
      </c>
      <c r="O533" s="239"/>
    </row>
    <row r="534" spans="1:15" ht="23" x14ac:dyDescent="0.35">
      <c r="A534" s="211" t="s">
        <v>1154</v>
      </c>
      <c r="B534" s="211" t="s">
        <v>1155</v>
      </c>
      <c r="C534" s="209">
        <v>33200</v>
      </c>
      <c r="D534" s="209">
        <v>0</v>
      </c>
      <c r="E534" s="209">
        <v>0</v>
      </c>
      <c r="F534" s="209">
        <v>33200</v>
      </c>
      <c r="G534" s="242">
        <v>-33200</v>
      </c>
      <c r="H534" s="239"/>
      <c r="I534" s="239"/>
      <c r="J534" s="210">
        <v>0</v>
      </c>
      <c r="K534" s="209">
        <v>0</v>
      </c>
      <c r="L534" s="209">
        <v>-33200</v>
      </c>
      <c r="M534" s="209">
        <v>0</v>
      </c>
      <c r="N534" s="242">
        <v>0</v>
      </c>
      <c r="O534" s="239"/>
    </row>
    <row r="535" spans="1:15" ht="23" x14ac:dyDescent="0.35">
      <c r="A535" s="211" t="s">
        <v>1156</v>
      </c>
      <c r="B535" s="211" t="s">
        <v>1157</v>
      </c>
      <c r="C535" s="209">
        <v>399000</v>
      </c>
      <c r="D535" s="209">
        <v>0</v>
      </c>
      <c r="E535" s="209">
        <v>0</v>
      </c>
      <c r="F535" s="209">
        <v>399000</v>
      </c>
      <c r="G535" s="242">
        <v>-355775</v>
      </c>
      <c r="H535" s="239"/>
      <c r="I535" s="239"/>
      <c r="J535" s="210">
        <v>-39900</v>
      </c>
      <c r="K535" s="209">
        <v>0</v>
      </c>
      <c r="L535" s="209">
        <v>-395675</v>
      </c>
      <c r="M535" s="209">
        <v>43225</v>
      </c>
      <c r="N535" s="242">
        <v>3325</v>
      </c>
      <c r="O535" s="239"/>
    </row>
    <row r="536" spans="1:15" ht="23" x14ac:dyDescent="0.35">
      <c r="A536" s="211" t="s">
        <v>1158</v>
      </c>
      <c r="B536" s="211" t="s">
        <v>1159</v>
      </c>
      <c r="C536" s="209">
        <v>25275</v>
      </c>
      <c r="D536" s="209">
        <v>0</v>
      </c>
      <c r="E536" s="209">
        <v>0</v>
      </c>
      <c r="F536" s="209">
        <v>25275</v>
      </c>
      <c r="G536" s="242">
        <v>-25275</v>
      </c>
      <c r="H536" s="239"/>
      <c r="I536" s="239"/>
      <c r="J536" s="210">
        <v>0</v>
      </c>
      <c r="K536" s="209">
        <v>0</v>
      </c>
      <c r="L536" s="209">
        <v>-25275</v>
      </c>
      <c r="M536" s="209">
        <v>0</v>
      </c>
      <c r="N536" s="242">
        <v>0</v>
      </c>
      <c r="O536" s="239"/>
    </row>
    <row r="537" spans="1:15" ht="23" x14ac:dyDescent="0.35">
      <c r="A537" s="211" t="s">
        <v>1160</v>
      </c>
      <c r="B537" s="211" t="s">
        <v>1161</v>
      </c>
      <c r="C537" s="209">
        <v>78161</v>
      </c>
      <c r="D537" s="209">
        <v>0</v>
      </c>
      <c r="E537" s="209">
        <v>0</v>
      </c>
      <c r="F537" s="209">
        <v>78161</v>
      </c>
      <c r="G537" s="242">
        <v>-78161</v>
      </c>
      <c r="H537" s="239"/>
      <c r="I537" s="239"/>
      <c r="J537" s="210">
        <v>0</v>
      </c>
      <c r="K537" s="209">
        <v>0</v>
      </c>
      <c r="L537" s="209">
        <v>-78161</v>
      </c>
      <c r="M537" s="209">
        <v>0</v>
      </c>
      <c r="N537" s="242">
        <v>0</v>
      </c>
      <c r="O537" s="239"/>
    </row>
    <row r="538" spans="1:15" x14ac:dyDescent="0.35">
      <c r="A538" s="211" t="s">
        <v>1162</v>
      </c>
      <c r="B538" s="211" t="s">
        <v>1163</v>
      </c>
      <c r="C538" s="209">
        <v>78500</v>
      </c>
      <c r="D538" s="209">
        <v>0</v>
      </c>
      <c r="E538" s="209">
        <v>0</v>
      </c>
      <c r="F538" s="209">
        <v>78500</v>
      </c>
      <c r="G538" s="242">
        <v>-78500</v>
      </c>
      <c r="H538" s="239"/>
      <c r="I538" s="239"/>
      <c r="J538" s="210">
        <v>0</v>
      </c>
      <c r="K538" s="209">
        <v>0</v>
      </c>
      <c r="L538" s="209">
        <v>-78500</v>
      </c>
      <c r="M538" s="209">
        <v>0</v>
      </c>
      <c r="N538" s="242">
        <v>0</v>
      </c>
      <c r="O538" s="239"/>
    </row>
    <row r="539" spans="1:15" ht="23" x14ac:dyDescent="0.35">
      <c r="A539" s="211" t="s">
        <v>1164</v>
      </c>
      <c r="B539" s="211" t="s">
        <v>1165</v>
      </c>
      <c r="C539" s="209">
        <v>159973.20000000001</v>
      </c>
      <c r="D539" s="209">
        <v>0</v>
      </c>
      <c r="E539" s="209">
        <v>0</v>
      </c>
      <c r="F539" s="209">
        <v>159973.20000000001</v>
      </c>
      <c r="G539" s="242">
        <v>-135975.99</v>
      </c>
      <c r="H539" s="239"/>
      <c r="I539" s="239"/>
      <c r="J539" s="210">
        <v>-15998</v>
      </c>
      <c r="K539" s="209">
        <v>0</v>
      </c>
      <c r="L539" s="209">
        <v>-151973.99</v>
      </c>
      <c r="M539" s="209">
        <v>23997.21</v>
      </c>
      <c r="N539" s="242">
        <v>7999.21</v>
      </c>
      <c r="O539" s="239"/>
    </row>
    <row r="540" spans="1:15" x14ac:dyDescent="0.35">
      <c r="A540" s="211" t="s">
        <v>1166</v>
      </c>
      <c r="B540" s="211" t="s">
        <v>1167</v>
      </c>
      <c r="C540" s="209">
        <v>45500</v>
      </c>
      <c r="D540" s="209">
        <v>0</v>
      </c>
      <c r="E540" s="209">
        <v>0</v>
      </c>
      <c r="F540" s="209">
        <v>45500</v>
      </c>
      <c r="G540" s="242">
        <v>-38673.53</v>
      </c>
      <c r="H540" s="239"/>
      <c r="I540" s="239"/>
      <c r="J540" s="210">
        <v>-4551</v>
      </c>
      <c r="K540" s="209">
        <v>0</v>
      </c>
      <c r="L540" s="209">
        <v>-43224.53</v>
      </c>
      <c r="M540" s="209">
        <v>6826.47</v>
      </c>
      <c r="N540" s="242">
        <v>2275.4699999999998</v>
      </c>
      <c r="O540" s="239"/>
    </row>
    <row r="541" spans="1:15" ht="23" x14ac:dyDescent="0.35">
      <c r="A541" s="211" t="s">
        <v>1168</v>
      </c>
      <c r="B541" s="211" t="s">
        <v>1169</v>
      </c>
      <c r="C541" s="209">
        <v>75200</v>
      </c>
      <c r="D541" s="209">
        <v>0</v>
      </c>
      <c r="E541" s="209">
        <v>0</v>
      </c>
      <c r="F541" s="209">
        <v>75200</v>
      </c>
      <c r="G541" s="242">
        <v>-63922.03</v>
      </c>
      <c r="H541" s="239"/>
      <c r="I541" s="239"/>
      <c r="J541" s="210">
        <v>-7519</v>
      </c>
      <c r="K541" s="209">
        <v>0</v>
      </c>
      <c r="L541" s="209">
        <v>-71441.03</v>
      </c>
      <c r="M541" s="209">
        <v>11277.97</v>
      </c>
      <c r="N541" s="242">
        <v>3758.97</v>
      </c>
      <c r="O541" s="239"/>
    </row>
    <row r="542" spans="1:15" ht="23" x14ac:dyDescent="0.35">
      <c r="A542" s="211" t="s">
        <v>1170</v>
      </c>
      <c r="B542" s="211" t="s">
        <v>1171</v>
      </c>
      <c r="C542" s="209">
        <v>71100</v>
      </c>
      <c r="D542" s="209">
        <v>0</v>
      </c>
      <c r="E542" s="209">
        <v>0</v>
      </c>
      <c r="F542" s="209">
        <v>71100</v>
      </c>
      <c r="G542" s="242">
        <v>-71100</v>
      </c>
      <c r="H542" s="239"/>
      <c r="I542" s="239"/>
      <c r="J542" s="210">
        <v>0</v>
      </c>
      <c r="K542" s="209">
        <v>0</v>
      </c>
      <c r="L542" s="209">
        <v>-71100</v>
      </c>
      <c r="M542" s="209">
        <v>0</v>
      </c>
      <c r="N542" s="242">
        <v>0</v>
      </c>
      <c r="O542" s="239"/>
    </row>
    <row r="543" spans="1:15" ht="23" x14ac:dyDescent="0.35">
      <c r="A543" s="211" t="s">
        <v>1172</v>
      </c>
      <c r="B543" s="211" t="s">
        <v>1171</v>
      </c>
      <c r="C543" s="209">
        <v>35550</v>
      </c>
      <c r="D543" s="209">
        <v>0</v>
      </c>
      <c r="E543" s="209">
        <v>0</v>
      </c>
      <c r="F543" s="209">
        <v>35550</v>
      </c>
      <c r="G543" s="242">
        <v>-35550</v>
      </c>
      <c r="H543" s="239"/>
      <c r="I543" s="239"/>
      <c r="J543" s="210">
        <v>0</v>
      </c>
      <c r="K543" s="209">
        <v>0</v>
      </c>
      <c r="L543" s="209">
        <v>-35550</v>
      </c>
      <c r="M543" s="209">
        <v>0</v>
      </c>
      <c r="N543" s="242">
        <v>0</v>
      </c>
      <c r="O543" s="239"/>
    </row>
    <row r="544" spans="1:15" ht="23" x14ac:dyDescent="0.35">
      <c r="A544" s="211" t="s">
        <v>1173</v>
      </c>
      <c r="B544" s="211" t="s">
        <v>1171</v>
      </c>
      <c r="C544" s="209">
        <v>35550</v>
      </c>
      <c r="D544" s="209">
        <v>0</v>
      </c>
      <c r="E544" s="209">
        <v>0</v>
      </c>
      <c r="F544" s="209">
        <v>35550</v>
      </c>
      <c r="G544" s="242">
        <v>-35550</v>
      </c>
      <c r="H544" s="239"/>
      <c r="I544" s="239"/>
      <c r="J544" s="210">
        <v>0</v>
      </c>
      <c r="K544" s="209">
        <v>0</v>
      </c>
      <c r="L544" s="209">
        <v>-35550</v>
      </c>
      <c r="M544" s="209">
        <v>0</v>
      </c>
      <c r="N544" s="242">
        <v>0</v>
      </c>
      <c r="O544" s="239"/>
    </row>
    <row r="545" spans="1:15" ht="23" x14ac:dyDescent="0.35">
      <c r="A545" s="211" t="s">
        <v>1174</v>
      </c>
      <c r="B545" s="211" t="s">
        <v>1175</v>
      </c>
      <c r="C545" s="209">
        <v>41400</v>
      </c>
      <c r="D545" s="209">
        <v>0</v>
      </c>
      <c r="E545" s="209">
        <v>0</v>
      </c>
      <c r="F545" s="209">
        <v>41400</v>
      </c>
      <c r="G545" s="242">
        <v>-41400</v>
      </c>
      <c r="H545" s="239"/>
      <c r="I545" s="239"/>
      <c r="J545" s="210">
        <v>0</v>
      </c>
      <c r="K545" s="209">
        <v>0</v>
      </c>
      <c r="L545" s="209">
        <v>-41400</v>
      </c>
      <c r="M545" s="209">
        <v>0</v>
      </c>
      <c r="N545" s="242">
        <v>0</v>
      </c>
      <c r="O545" s="239"/>
    </row>
    <row r="546" spans="1:15" x14ac:dyDescent="0.35">
      <c r="A546" s="211" t="s">
        <v>1176</v>
      </c>
      <c r="B546" s="211" t="s">
        <v>1177</v>
      </c>
      <c r="C546" s="209">
        <v>174447</v>
      </c>
      <c r="D546" s="209">
        <v>0</v>
      </c>
      <c r="E546" s="209">
        <v>0</v>
      </c>
      <c r="F546" s="209">
        <v>174447</v>
      </c>
      <c r="G546" s="242">
        <v>-174447</v>
      </c>
      <c r="H546" s="239"/>
      <c r="I546" s="239"/>
      <c r="J546" s="210">
        <v>0</v>
      </c>
      <c r="K546" s="209">
        <v>0</v>
      </c>
      <c r="L546" s="209">
        <v>-174447</v>
      </c>
      <c r="M546" s="209">
        <v>0</v>
      </c>
      <c r="N546" s="242">
        <v>0</v>
      </c>
      <c r="O546" s="239"/>
    </row>
    <row r="547" spans="1:15" ht="23" x14ac:dyDescent="0.35">
      <c r="A547" s="211" t="s">
        <v>1178</v>
      </c>
      <c r="B547" s="211" t="s">
        <v>1179</v>
      </c>
      <c r="C547" s="209">
        <v>62532</v>
      </c>
      <c r="D547" s="209">
        <v>0</v>
      </c>
      <c r="E547" s="209">
        <v>0</v>
      </c>
      <c r="F547" s="209">
        <v>62532</v>
      </c>
      <c r="G547" s="242">
        <v>-62532</v>
      </c>
      <c r="H547" s="239"/>
      <c r="I547" s="239"/>
      <c r="J547" s="210">
        <v>0</v>
      </c>
      <c r="K547" s="209">
        <v>0</v>
      </c>
      <c r="L547" s="209">
        <v>-62532</v>
      </c>
      <c r="M547" s="209">
        <v>0</v>
      </c>
      <c r="N547" s="242">
        <v>0</v>
      </c>
      <c r="O547" s="239"/>
    </row>
    <row r="548" spans="1:15" ht="23" x14ac:dyDescent="0.35">
      <c r="A548" s="211" t="s">
        <v>1180</v>
      </c>
      <c r="B548" s="211" t="s">
        <v>1181</v>
      </c>
      <c r="C548" s="209">
        <v>62532</v>
      </c>
      <c r="D548" s="209">
        <v>0</v>
      </c>
      <c r="E548" s="209">
        <v>0</v>
      </c>
      <c r="F548" s="209">
        <v>62532</v>
      </c>
      <c r="G548" s="242">
        <v>-62532</v>
      </c>
      <c r="H548" s="239"/>
      <c r="I548" s="239"/>
      <c r="J548" s="210">
        <v>0</v>
      </c>
      <c r="K548" s="209">
        <v>0</v>
      </c>
      <c r="L548" s="209">
        <v>-62532</v>
      </c>
      <c r="M548" s="209">
        <v>0</v>
      </c>
      <c r="N548" s="242">
        <v>0</v>
      </c>
      <c r="O548" s="239"/>
    </row>
    <row r="549" spans="1:15" ht="23" x14ac:dyDescent="0.35">
      <c r="A549" s="211" t="s">
        <v>1182</v>
      </c>
      <c r="B549" s="211" t="s">
        <v>1183</v>
      </c>
      <c r="C549" s="209">
        <v>62532</v>
      </c>
      <c r="D549" s="209">
        <v>0</v>
      </c>
      <c r="E549" s="209">
        <v>0</v>
      </c>
      <c r="F549" s="209">
        <v>62532</v>
      </c>
      <c r="G549" s="242">
        <v>-62532</v>
      </c>
      <c r="H549" s="239"/>
      <c r="I549" s="239"/>
      <c r="J549" s="210">
        <v>0</v>
      </c>
      <c r="K549" s="209">
        <v>0</v>
      </c>
      <c r="L549" s="209">
        <v>-62532</v>
      </c>
      <c r="M549" s="209">
        <v>0</v>
      </c>
      <c r="N549" s="242">
        <v>0</v>
      </c>
      <c r="O549" s="239"/>
    </row>
    <row r="550" spans="1:15" ht="23" x14ac:dyDescent="0.35">
      <c r="A550" s="211" t="s">
        <v>1184</v>
      </c>
      <c r="B550" s="211" t="s">
        <v>1185</v>
      </c>
      <c r="C550" s="209">
        <v>62532</v>
      </c>
      <c r="D550" s="209">
        <v>0</v>
      </c>
      <c r="E550" s="209">
        <v>0</v>
      </c>
      <c r="F550" s="209">
        <v>62532</v>
      </c>
      <c r="G550" s="242">
        <v>-62532</v>
      </c>
      <c r="H550" s="239"/>
      <c r="I550" s="239"/>
      <c r="J550" s="210">
        <v>0</v>
      </c>
      <c r="K550" s="209">
        <v>0</v>
      </c>
      <c r="L550" s="209">
        <v>-62532</v>
      </c>
      <c r="M550" s="209">
        <v>0</v>
      </c>
      <c r="N550" s="242">
        <v>0</v>
      </c>
      <c r="O550" s="239"/>
    </row>
    <row r="551" spans="1:15" ht="23" x14ac:dyDescent="0.35">
      <c r="A551" s="211" t="s">
        <v>1186</v>
      </c>
      <c r="B551" s="211" t="s">
        <v>1187</v>
      </c>
      <c r="C551" s="209">
        <v>62532</v>
      </c>
      <c r="D551" s="209">
        <v>0</v>
      </c>
      <c r="E551" s="209">
        <v>0</v>
      </c>
      <c r="F551" s="209">
        <v>62532</v>
      </c>
      <c r="G551" s="242">
        <v>-62532</v>
      </c>
      <c r="H551" s="239"/>
      <c r="I551" s="239"/>
      <c r="J551" s="210">
        <v>0</v>
      </c>
      <c r="K551" s="209">
        <v>0</v>
      </c>
      <c r="L551" s="209">
        <v>-62532</v>
      </c>
      <c r="M551" s="209">
        <v>0</v>
      </c>
      <c r="N551" s="242">
        <v>0</v>
      </c>
      <c r="O551" s="239"/>
    </row>
    <row r="552" spans="1:15" ht="23" x14ac:dyDescent="0.35">
      <c r="A552" s="211" t="s">
        <v>1188</v>
      </c>
      <c r="B552" s="211" t="s">
        <v>1189</v>
      </c>
      <c r="C552" s="209">
        <v>62532</v>
      </c>
      <c r="D552" s="209">
        <v>0</v>
      </c>
      <c r="E552" s="209">
        <v>0</v>
      </c>
      <c r="F552" s="209">
        <v>62532</v>
      </c>
      <c r="G552" s="242">
        <v>-62532</v>
      </c>
      <c r="H552" s="239"/>
      <c r="I552" s="239"/>
      <c r="J552" s="210">
        <v>0</v>
      </c>
      <c r="K552" s="209">
        <v>0</v>
      </c>
      <c r="L552" s="209">
        <v>-62532</v>
      </c>
      <c r="M552" s="209">
        <v>0</v>
      </c>
      <c r="N552" s="242">
        <v>0</v>
      </c>
      <c r="O552" s="239"/>
    </row>
    <row r="553" spans="1:15" ht="23" x14ac:dyDescent="0.35">
      <c r="A553" s="211" t="s">
        <v>1190</v>
      </c>
      <c r="B553" s="211" t="s">
        <v>1191</v>
      </c>
      <c r="C553" s="209">
        <v>62532</v>
      </c>
      <c r="D553" s="209">
        <v>0</v>
      </c>
      <c r="E553" s="209">
        <v>0</v>
      </c>
      <c r="F553" s="209">
        <v>62532</v>
      </c>
      <c r="G553" s="242">
        <v>-62532</v>
      </c>
      <c r="H553" s="239"/>
      <c r="I553" s="239"/>
      <c r="J553" s="210">
        <v>0</v>
      </c>
      <c r="K553" s="209">
        <v>0</v>
      </c>
      <c r="L553" s="209">
        <v>-62532</v>
      </c>
      <c r="M553" s="209">
        <v>0</v>
      </c>
      <c r="N553" s="242">
        <v>0</v>
      </c>
      <c r="O553" s="239"/>
    </row>
    <row r="554" spans="1:15" ht="23" x14ac:dyDescent="0.35">
      <c r="A554" s="211" t="s">
        <v>1192</v>
      </c>
      <c r="B554" s="211" t="s">
        <v>1193</v>
      </c>
      <c r="C554" s="209">
        <v>62532</v>
      </c>
      <c r="D554" s="209">
        <v>0</v>
      </c>
      <c r="E554" s="209">
        <v>0</v>
      </c>
      <c r="F554" s="209">
        <v>62532</v>
      </c>
      <c r="G554" s="242">
        <v>-62532</v>
      </c>
      <c r="H554" s="239"/>
      <c r="I554" s="239"/>
      <c r="J554" s="210">
        <v>0</v>
      </c>
      <c r="K554" s="209">
        <v>0</v>
      </c>
      <c r="L554" s="209">
        <v>-62532</v>
      </c>
      <c r="M554" s="209">
        <v>0</v>
      </c>
      <c r="N554" s="242">
        <v>0</v>
      </c>
      <c r="O554" s="239"/>
    </row>
    <row r="555" spans="1:15" ht="23" x14ac:dyDescent="0.35">
      <c r="A555" s="211" t="s">
        <v>1194</v>
      </c>
      <c r="B555" s="211" t="s">
        <v>1195</v>
      </c>
      <c r="C555" s="209">
        <v>62532</v>
      </c>
      <c r="D555" s="209">
        <v>0</v>
      </c>
      <c r="E555" s="209">
        <v>0</v>
      </c>
      <c r="F555" s="209">
        <v>62532</v>
      </c>
      <c r="G555" s="242">
        <v>-62532</v>
      </c>
      <c r="H555" s="239"/>
      <c r="I555" s="239"/>
      <c r="J555" s="210">
        <v>0</v>
      </c>
      <c r="K555" s="209">
        <v>0</v>
      </c>
      <c r="L555" s="209">
        <v>-62532</v>
      </c>
      <c r="M555" s="209">
        <v>0</v>
      </c>
      <c r="N555" s="242">
        <v>0</v>
      </c>
      <c r="O555" s="239"/>
    </row>
    <row r="556" spans="1:15" ht="23" x14ac:dyDescent="0.35">
      <c r="A556" s="211" t="s">
        <v>1196</v>
      </c>
      <c r="B556" s="211" t="s">
        <v>1197</v>
      </c>
      <c r="C556" s="209">
        <v>62532</v>
      </c>
      <c r="D556" s="209">
        <v>0</v>
      </c>
      <c r="E556" s="209">
        <v>0</v>
      </c>
      <c r="F556" s="209">
        <v>62532</v>
      </c>
      <c r="G556" s="242">
        <v>-62532</v>
      </c>
      <c r="H556" s="239"/>
      <c r="I556" s="239"/>
      <c r="J556" s="210">
        <v>0</v>
      </c>
      <c r="K556" s="209">
        <v>0</v>
      </c>
      <c r="L556" s="209">
        <v>-62532</v>
      </c>
      <c r="M556" s="209">
        <v>0</v>
      </c>
      <c r="N556" s="242">
        <v>0</v>
      </c>
      <c r="O556" s="239"/>
    </row>
    <row r="557" spans="1:15" ht="23" x14ac:dyDescent="0.35">
      <c r="A557" s="211" t="s">
        <v>1198</v>
      </c>
      <c r="B557" s="211" t="s">
        <v>1199</v>
      </c>
      <c r="C557" s="209">
        <v>62532</v>
      </c>
      <c r="D557" s="209">
        <v>0</v>
      </c>
      <c r="E557" s="209">
        <v>0</v>
      </c>
      <c r="F557" s="209">
        <v>62532</v>
      </c>
      <c r="G557" s="242">
        <v>-62532</v>
      </c>
      <c r="H557" s="239"/>
      <c r="I557" s="239"/>
      <c r="J557" s="210">
        <v>0</v>
      </c>
      <c r="K557" s="209">
        <v>0</v>
      </c>
      <c r="L557" s="209">
        <v>-62532</v>
      </c>
      <c r="M557" s="209">
        <v>0</v>
      </c>
      <c r="N557" s="242">
        <v>0</v>
      </c>
      <c r="O557" s="239"/>
    </row>
    <row r="558" spans="1:15" ht="23" x14ac:dyDescent="0.35">
      <c r="A558" s="211" t="s">
        <v>1200</v>
      </c>
      <c r="B558" s="211" t="s">
        <v>1201</v>
      </c>
      <c r="C558" s="209">
        <v>62532</v>
      </c>
      <c r="D558" s="209">
        <v>0</v>
      </c>
      <c r="E558" s="209">
        <v>0</v>
      </c>
      <c r="F558" s="209">
        <v>62532</v>
      </c>
      <c r="G558" s="242">
        <v>-62532</v>
      </c>
      <c r="H558" s="239"/>
      <c r="I558" s="239"/>
      <c r="J558" s="210">
        <v>0</v>
      </c>
      <c r="K558" s="209">
        <v>0</v>
      </c>
      <c r="L558" s="209">
        <v>-62532</v>
      </c>
      <c r="M558" s="209">
        <v>0</v>
      </c>
      <c r="N558" s="242">
        <v>0</v>
      </c>
      <c r="O558" s="239"/>
    </row>
    <row r="559" spans="1:15" ht="23" x14ac:dyDescent="0.35">
      <c r="A559" s="211" t="s">
        <v>1202</v>
      </c>
      <c r="B559" s="211" t="s">
        <v>1203</v>
      </c>
      <c r="C559" s="209">
        <v>62532</v>
      </c>
      <c r="D559" s="209">
        <v>0</v>
      </c>
      <c r="E559" s="209">
        <v>0</v>
      </c>
      <c r="F559" s="209">
        <v>62532</v>
      </c>
      <c r="G559" s="242">
        <v>-62532</v>
      </c>
      <c r="H559" s="239"/>
      <c r="I559" s="239"/>
      <c r="J559" s="210">
        <v>0</v>
      </c>
      <c r="K559" s="209">
        <v>0</v>
      </c>
      <c r="L559" s="209">
        <v>-62532</v>
      </c>
      <c r="M559" s="209">
        <v>0</v>
      </c>
      <c r="N559" s="242">
        <v>0</v>
      </c>
      <c r="O559" s="239"/>
    </row>
    <row r="560" spans="1:15" ht="23" x14ac:dyDescent="0.35">
      <c r="A560" s="211" t="s">
        <v>1204</v>
      </c>
      <c r="B560" s="211" t="s">
        <v>1205</v>
      </c>
      <c r="C560" s="209">
        <v>62532</v>
      </c>
      <c r="D560" s="209">
        <v>0</v>
      </c>
      <c r="E560" s="209">
        <v>0</v>
      </c>
      <c r="F560" s="209">
        <v>62532</v>
      </c>
      <c r="G560" s="242">
        <v>-62532</v>
      </c>
      <c r="H560" s="239"/>
      <c r="I560" s="239"/>
      <c r="J560" s="210">
        <v>0</v>
      </c>
      <c r="K560" s="209">
        <v>0</v>
      </c>
      <c r="L560" s="209">
        <v>-62532</v>
      </c>
      <c r="M560" s="209">
        <v>0</v>
      </c>
      <c r="N560" s="242">
        <v>0</v>
      </c>
      <c r="O560" s="239"/>
    </row>
    <row r="561" spans="1:15" ht="23" x14ac:dyDescent="0.35">
      <c r="A561" s="211" t="s">
        <v>1206</v>
      </c>
      <c r="B561" s="211" t="s">
        <v>1207</v>
      </c>
      <c r="C561" s="209">
        <v>62532</v>
      </c>
      <c r="D561" s="209">
        <v>0</v>
      </c>
      <c r="E561" s="209">
        <v>0</v>
      </c>
      <c r="F561" s="209">
        <v>62532</v>
      </c>
      <c r="G561" s="242">
        <v>-62532</v>
      </c>
      <c r="H561" s="239"/>
      <c r="I561" s="239"/>
      <c r="J561" s="210">
        <v>0</v>
      </c>
      <c r="K561" s="209">
        <v>0</v>
      </c>
      <c r="L561" s="209">
        <v>-62532</v>
      </c>
      <c r="M561" s="209">
        <v>0</v>
      </c>
      <c r="N561" s="242">
        <v>0</v>
      </c>
      <c r="O561" s="239"/>
    </row>
    <row r="562" spans="1:15" ht="23" x14ac:dyDescent="0.35">
      <c r="A562" s="211" t="s">
        <v>1208</v>
      </c>
      <c r="B562" s="211" t="s">
        <v>1209</v>
      </c>
      <c r="C562" s="209">
        <v>62532</v>
      </c>
      <c r="D562" s="209">
        <v>0</v>
      </c>
      <c r="E562" s="209">
        <v>0</v>
      </c>
      <c r="F562" s="209">
        <v>62532</v>
      </c>
      <c r="G562" s="242">
        <v>-62532</v>
      </c>
      <c r="H562" s="239"/>
      <c r="I562" s="239"/>
      <c r="J562" s="210">
        <v>0</v>
      </c>
      <c r="K562" s="209">
        <v>0</v>
      </c>
      <c r="L562" s="209">
        <v>-62532</v>
      </c>
      <c r="M562" s="209">
        <v>0</v>
      </c>
      <c r="N562" s="242">
        <v>0</v>
      </c>
      <c r="O562" s="239"/>
    </row>
    <row r="563" spans="1:15" ht="23" x14ac:dyDescent="0.35">
      <c r="A563" s="211" t="s">
        <v>1210</v>
      </c>
      <c r="B563" s="211" t="s">
        <v>1211</v>
      </c>
      <c r="C563" s="209">
        <v>62532</v>
      </c>
      <c r="D563" s="209">
        <v>0</v>
      </c>
      <c r="E563" s="209">
        <v>0</v>
      </c>
      <c r="F563" s="209">
        <v>62532</v>
      </c>
      <c r="G563" s="242">
        <v>-62532</v>
      </c>
      <c r="H563" s="239"/>
      <c r="I563" s="239"/>
      <c r="J563" s="210">
        <v>0</v>
      </c>
      <c r="K563" s="209">
        <v>0</v>
      </c>
      <c r="L563" s="209">
        <v>-62532</v>
      </c>
      <c r="M563" s="209">
        <v>0</v>
      </c>
      <c r="N563" s="242">
        <v>0</v>
      </c>
      <c r="O563" s="239"/>
    </row>
    <row r="564" spans="1:15" ht="23" x14ac:dyDescent="0.35">
      <c r="A564" s="211" t="s">
        <v>1212</v>
      </c>
      <c r="B564" s="211" t="s">
        <v>1213</v>
      </c>
      <c r="C564" s="209">
        <v>62532</v>
      </c>
      <c r="D564" s="209">
        <v>0</v>
      </c>
      <c r="E564" s="209">
        <v>0</v>
      </c>
      <c r="F564" s="209">
        <v>62532</v>
      </c>
      <c r="G564" s="242">
        <v>-62532</v>
      </c>
      <c r="H564" s="239"/>
      <c r="I564" s="239"/>
      <c r="J564" s="210">
        <v>0</v>
      </c>
      <c r="K564" s="209">
        <v>0</v>
      </c>
      <c r="L564" s="209">
        <v>-62532</v>
      </c>
      <c r="M564" s="209">
        <v>0</v>
      </c>
      <c r="N564" s="242">
        <v>0</v>
      </c>
      <c r="O564" s="239"/>
    </row>
    <row r="565" spans="1:15" ht="23" x14ac:dyDescent="0.35">
      <c r="A565" s="211" t="s">
        <v>1214</v>
      </c>
      <c r="B565" s="211" t="s">
        <v>1215</v>
      </c>
      <c r="C565" s="209">
        <v>62532</v>
      </c>
      <c r="D565" s="209">
        <v>0</v>
      </c>
      <c r="E565" s="209">
        <v>0</v>
      </c>
      <c r="F565" s="209">
        <v>62532</v>
      </c>
      <c r="G565" s="242">
        <v>-62532</v>
      </c>
      <c r="H565" s="239"/>
      <c r="I565" s="239"/>
      <c r="J565" s="210">
        <v>0</v>
      </c>
      <c r="K565" s="209">
        <v>0</v>
      </c>
      <c r="L565" s="209">
        <v>-62532</v>
      </c>
      <c r="M565" s="209">
        <v>0</v>
      </c>
      <c r="N565" s="242">
        <v>0</v>
      </c>
      <c r="O565" s="239"/>
    </row>
    <row r="566" spans="1:15" ht="23" x14ac:dyDescent="0.35">
      <c r="A566" s="211" t="s">
        <v>1216</v>
      </c>
      <c r="B566" s="211" t="s">
        <v>1217</v>
      </c>
      <c r="C566" s="209">
        <v>62532</v>
      </c>
      <c r="D566" s="209">
        <v>0</v>
      </c>
      <c r="E566" s="209">
        <v>0</v>
      </c>
      <c r="F566" s="209">
        <v>62532</v>
      </c>
      <c r="G566" s="242">
        <v>-62532</v>
      </c>
      <c r="H566" s="239"/>
      <c r="I566" s="239"/>
      <c r="J566" s="210">
        <v>0</v>
      </c>
      <c r="K566" s="209">
        <v>0</v>
      </c>
      <c r="L566" s="209">
        <v>-62532</v>
      </c>
      <c r="M566" s="209">
        <v>0</v>
      </c>
      <c r="N566" s="242">
        <v>0</v>
      </c>
      <c r="O566" s="239"/>
    </row>
    <row r="567" spans="1:15" ht="23" x14ac:dyDescent="0.35">
      <c r="A567" s="211" t="s">
        <v>1218</v>
      </c>
      <c r="B567" s="211" t="s">
        <v>1219</v>
      </c>
      <c r="C567" s="209">
        <v>62533</v>
      </c>
      <c r="D567" s="209">
        <v>0</v>
      </c>
      <c r="E567" s="209">
        <v>0</v>
      </c>
      <c r="F567" s="209">
        <v>62533</v>
      </c>
      <c r="G567" s="242">
        <v>-62533</v>
      </c>
      <c r="H567" s="239"/>
      <c r="I567" s="239"/>
      <c r="J567" s="210">
        <v>0</v>
      </c>
      <c r="K567" s="209">
        <v>0</v>
      </c>
      <c r="L567" s="209">
        <v>-62533</v>
      </c>
      <c r="M567" s="209">
        <v>0</v>
      </c>
      <c r="N567" s="242">
        <v>0</v>
      </c>
      <c r="O567" s="239"/>
    </row>
    <row r="568" spans="1:15" ht="23" x14ac:dyDescent="0.35">
      <c r="A568" s="211" t="s">
        <v>1220</v>
      </c>
      <c r="B568" s="211" t="s">
        <v>1221</v>
      </c>
      <c r="C568" s="209">
        <v>62533</v>
      </c>
      <c r="D568" s="209">
        <v>0</v>
      </c>
      <c r="E568" s="209">
        <v>0</v>
      </c>
      <c r="F568" s="209">
        <v>62533</v>
      </c>
      <c r="G568" s="242">
        <v>-62533</v>
      </c>
      <c r="H568" s="239"/>
      <c r="I568" s="239"/>
      <c r="J568" s="210">
        <v>0</v>
      </c>
      <c r="K568" s="209">
        <v>0</v>
      </c>
      <c r="L568" s="209">
        <v>-62533</v>
      </c>
      <c r="M568" s="209">
        <v>0</v>
      </c>
      <c r="N568" s="242">
        <v>0</v>
      </c>
      <c r="O568" s="239"/>
    </row>
    <row r="569" spans="1:15" ht="23" x14ac:dyDescent="0.35">
      <c r="A569" s="211" t="s">
        <v>1222</v>
      </c>
      <c r="B569" s="211" t="s">
        <v>1223</v>
      </c>
      <c r="C569" s="209">
        <v>62533</v>
      </c>
      <c r="D569" s="209">
        <v>0</v>
      </c>
      <c r="E569" s="209">
        <v>0</v>
      </c>
      <c r="F569" s="209">
        <v>62533</v>
      </c>
      <c r="G569" s="242">
        <v>-62533</v>
      </c>
      <c r="H569" s="239"/>
      <c r="I569" s="239"/>
      <c r="J569" s="210">
        <v>0</v>
      </c>
      <c r="K569" s="209">
        <v>0</v>
      </c>
      <c r="L569" s="209">
        <v>-62533</v>
      </c>
      <c r="M569" s="209">
        <v>0</v>
      </c>
      <c r="N569" s="242">
        <v>0</v>
      </c>
      <c r="O569" s="239"/>
    </row>
    <row r="570" spans="1:15" ht="23" x14ac:dyDescent="0.35">
      <c r="A570" s="211" t="s">
        <v>1224</v>
      </c>
      <c r="B570" s="211" t="s">
        <v>1225</v>
      </c>
      <c r="C570" s="209">
        <v>62533</v>
      </c>
      <c r="D570" s="209">
        <v>0</v>
      </c>
      <c r="E570" s="209">
        <v>0</v>
      </c>
      <c r="F570" s="209">
        <v>62533</v>
      </c>
      <c r="G570" s="242">
        <v>-62533</v>
      </c>
      <c r="H570" s="239"/>
      <c r="I570" s="239"/>
      <c r="J570" s="210">
        <v>0</v>
      </c>
      <c r="K570" s="209">
        <v>0</v>
      </c>
      <c r="L570" s="209">
        <v>-62533</v>
      </c>
      <c r="M570" s="209">
        <v>0</v>
      </c>
      <c r="N570" s="242">
        <v>0</v>
      </c>
      <c r="O570" s="239"/>
    </row>
    <row r="571" spans="1:15" ht="23" x14ac:dyDescent="0.35">
      <c r="A571" s="211" t="s">
        <v>1226</v>
      </c>
      <c r="B571" s="211" t="s">
        <v>1227</v>
      </c>
      <c r="C571" s="209">
        <v>62533</v>
      </c>
      <c r="D571" s="209">
        <v>0</v>
      </c>
      <c r="E571" s="209">
        <v>0</v>
      </c>
      <c r="F571" s="209">
        <v>62533</v>
      </c>
      <c r="G571" s="242">
        <v>-62533</v>
      </c>
      <c r="H571" s="239"/>
      <c r="I571" s="239"/>
      <c r="J571" s="210">
        <v>0</v>
      </c>
      <c r="K571" s="209">
        <v>0</v>
      </c>
      <c r="L571" s="209">
        <v>-62533</v>
      </c>
      <c r="M571" s="209">
        <v>0</v>
      </c>
      <c r="N571" s="242">
        <v>0</v>
      </c>
      <c r="O571" s="239"/>
    </row>
    <row r="572" spans="1:15" ht="23" x14ac:dyDescent="0.35">
      <c r="A572" s="211" t="s">
        <v>1228</v>
      </c>
      <c r="B572" s="211" t="s">
        <v>1229</v>
      </c>
      <c r="C572" s="209">
        <v>62533</v>
      </c>
      <c r="D572" s="209">
        <v>0</v>
      </c>
      <c r="E572" s="209">
        <v>0</v>
      </c>
      <c r="F572" s="209">
        <v>62533</v>
      </c>
      <c r="G572" s="242">
        <v>-62533</v>
      </c>
      <c r="H572" s="239"/>
      <c r="I572" s="239"/>
      <c r="J572" s="210">
        <v>0</v>
      </c>
      <c r="K572" s="209">
        <v>0</v>
      </c>
      <c r="L572" s="209">
        <v>-62533</v>
      </c>
      <c r="M572" s="209">
        <v>0</v>
      </c>
      <c r="N572" s="242">
        <v>0</v>
      </c>
      <c r="O572" s="239"/>
    </row>
    <row r="573" spans="1:15" ht="23" x14ac:dyDescent="0.35">
      <c r="A573" s="211" t="s">
        <v>1230</v>
      </c>
      <c r="B573" s="211" t="s">
        <v>1231</v>
      </c>
      <c r="C573" s="209">
        <v>62533</v>
      </c>
      <c r="D573" s="209">
        <v>0</v>
      </c>
      <c r="E573" s="209">
        <v>0</v>
      </c>
      <c r="F573" s="209">
        <v>62533</v>
      </c>
      <c r="G573" s="242">
        <v>-62533</v>
      </c>
      <c r="H573" s="239"/>
      <c r="I573" s="239"/>
      <c r="J573" s="210">
        <v>0</v>
      </c>
      <c r="K573" s="209">
        <v>0</v>
      </c>
      <c r="L573" s="209">
        <v>-62533</v>
      </c>
      <c r="M573" s="209">
        <v>0</v>
      </c>
      <c r="N573" s="242">
        <v>0</v>
      </c>
      <c r="O573" s="239"/>
    </row>
    <row r="574" spans="1:15" ht="23" x14ac:dyDescent="0.35">
      <c r="A574" s="211" t="s">
        <v>1232</v>
      </c>
      <c r="B574" s="211" t="s">
        <v>1233</v>
      </c>
      <c r="C574" s="209">
        <v>62533</v>
      </c>
      <c r="D574" s="209">
        <v>0</v>
      </c>
      <c r="E574" s="209">
        <v>0</v>
      </c>
      <c r="F574" s="209">
        <v>62533</v>
      </c>
      <c r="G574" s="242">
        <v>-62533</v>
      </c>
      <c r="H574" s="239"/>
      <c r="I574" s="239"/>
      <c r="J574" s="210">
        <v>0</v>
      </c>
      <c r="K574" s="209">
        <v>0</v>
      </c>
      <c r="L574" s="209">
        <v>-62533</v>
      </c>
      <c r="M574" s="209">
        <v>0</v>
      </c>
      <c r="N574" s="242">
        <v>0</v>
      </c>
      <c r="O574" s="239"/>
    </row>
    <row r="575" spans="1:15" ht="23" x14ac:dyDescent="0.35">
      <c r="A575" s="211" t="s">
        <v>1234</v>
      </c>
      <c r="B575" s="211" t="s">
        <v>1235</v>
      </c>
      <c r="C575" s="209">
        <v>62533</v>
      </c>
      <c r="D575" s="209">
        <v>0</v>
      </c>
      <c r="E575" s="209">
        <v>0</v>
      </c>
      <c r="F575" s="209">
        <v>62533</v>
      </c>
      <c r="G575" s="242">
        <v>-62533</v>
      </c>
      <c r="H575" s="239"/>
      <c r="I575" s="239"/>
      <c r="J575" s="210">
        <v>0</v>
      </c>
      <c r="K575" s="209">
        <v>0</v>
      </c>
      <c r="L575" s="209">
        <v>-62533</v>
      </c>
      <c r="M575" s="209">
        <v>0</v>
      </c>
      <c r="N575" s="242">
        <v>0</v>
      </c>
      <c r="O575" s="239"/>
    </row>
    <row r="576" spans="1:15" ht="23" x14ac:dyDescent="0.35">
      <c r="A576" s="211" t="s">
        <v>1236</v>
      </c>
      <c r="B576" s="211" t="s">
        <v>1237</v>
      </c>
      <c r="C576" s="209">
        <v>62533</v>
      </c>
      <c r="D576" s="209">
        <v>0</v>
      </c>
      <c r="E576" s="209">
        <v>0</v>
      </c>
      <c r="F576" s="209">
        <v>62533</v>
      </c>
      <c r="G576" s="242">
        <v>-62533</v>
      </c>
      <c r="H576" s="239"/>
      <c r="I576" s="239"/>
      <c r="J576" s="210">
        <v>0</v>
      </c>
      <c r="K576" s="209">
        <v>0</v>
      </c>
      <c r="L576" s="209">
        <v>-62533</v>
      </c>
      <c r="M576" s="209">
        <v>0</v>
      </c>
      <c r="N576" s="242">
        <v>0</v>
      </c>
      <c r="O576" s="239"/>
    </row>
    <row r="577" spans="1:15" ht="23" x14ac:dyDescent="0.35">
      <c r="A577" s="211" t="s">
        <v>1238</v>
      </c>
      <c r="B577" s="211" t="s">
        <v>1239</v>
      </c>
      <c r="C577" s="209">
        <v>62533</v>
      </c>
      <c r="D577" s="209">
        <v>0</v>
      </c>
      <c r="E577" s="209">
        <v>0</v>
      </c>
      <c r="F577" s="209">
        <v>62533</v>
      </c>
      <c r="G577" s="242">
        <v>-62533</v>
      </c>
      <c r="H577" s="239"/>
      <c r="I577" s="239"/>
      <c r="J577" s="210">
        <v>0</v>
      </c>
      <c r="K577" s="209">
        <v>0</v>
      </c>
      <c r="L577" s="209">
        <v>-62533</v>
      </c>
      <c r="M577" s="209">
        <v>0</v>
      </c>
      <c r="N577" s="242">
        <v>0</v>
      </c>
      <c r="O577" s="239"/>
    </row>
    <row r="578" spans="1:15" ht="23" x14ac:dyDescent="0.35">
      <c r="A578" s="211" t="s">
        <v>1240</v>
      </c>
      <c r="B578" s="211" t="s">
        <v>1241</v>
      </c>
      <c r="C578" s="209">
        <v>62533</v>
      </c>
      <c r="D578" s="209">
        <v>0</v>
      </c>
      <c r="E578" s="209">
        <v>0</v>
      </c>
      <c r="F578" s="209">
        <v>62533</v>
      </c>
      <c r="G578" s="242">
        <v>-62533</v>
      </c>
      <c r="H578" s="239"/>
      <c r="I578" s="239"/>
      <c r="J578" s="210">
        <v>0</v>
      </c>
      <c r="K578" s="209">
        <v>0</v>
      </c>
      <c r="L578" s="209">
        <v>-62533</v>
      </c>
      <c r="M578" s="209">
        <v>0</v>
      </c>
      <c r="N578" s="242">
        <v>0</v>
      </c>
      <c r="O578" s="239"/>
    </row>
    <row r="579" spans="1:15" ht="23" x14ac:dyDescent="0.35">
      <c r="A579" s="211" t="s">
        <v>1242</v>
      </c>
      <c r="B579" s="211" t="s">
        <v>1243</v>
      </c>
      <c r="C579" s="209">
        <v>62533</v>
      </c>
      <c r="D579" s="209">
        <v>0</v>
      </c>
      <c r="E579" s="209">
        <v>0</v>
      </c>
      <c r="F579" s="209">
        <v>62533</v>
      </c>
      <c r="G579" s="242">
        <v>-62533</v>
      </c>
      <c r="H579" s="239"/>
      <c r="I579" s="239"/>
      <c r="J579" s="210">
        <v>0</v>
      </c>
      <c r="K579" s="209">
        <v>0</v>
      </c>
      <c r="L579" s="209">
        <v>-62533</v>
      </c>
      <c r="M579" s="209">
        <v>0</v>
      </c>
      <c r="N579" s="242">
        <v>0</v>
      </c>
      <c r="O579" s="239"/>
    </row>
    <row r="580" spans="1:15" ht="23" x14ac:dyDescent="0.35">
      <c r="A580" s="211" t="s">
        <v>1244</v>
      </c>
      <c r="B580" s="211" t="s">
        <v>1245</v>
      </c>
      <c r="C580" s="209">
        <v>62533</v>
      </c>
      <c r="D580" s="209">
        <v>0</v>
      </c>
      <c r="E580" s="209">
        <v>0</v>
      </c>
      <c r="F580" s="209">
        <v>62533</v>
      </c>
      <c r="G580" s="242">
        <v>-62533</v>
      </c>
      <c r="H580" s="239"/>
      <c r="I580" s="239"/>
      <c r="J580" s="210">
        <v>0</v>
      </c>
      <c r="K580" s="209">
        <v>0</v>
      </c>
      <c r="L580" s="209">
        <v>-62533</v>
      </c>
      <c r="M580" s="209">
        <v>0</v>
      </c>
      <c r="N580" s="242">
        <v>0</v>
      </c>
      <c r="O580" s="239"/>
    </row>
    <row r="581" spans="1:15" ht="23" x14ac:dyDescent="0.35">
      <c r="A581" s="211" t="s">
        <v>1246</v>
      </c>
      <c r="B581" s="211" t="s">
        <v>1247</v>
      </c>
      <c r="C581" s="209">
        <v>62533</v>
      </c>
      <c r="D581" s="209">
        <v>0</v>
      </c>
      <c r="E581" s="209">
        <v>0</v>
      </c>
      <c r="F581" s="209">
        <v>62533</v>
      </c>
      <c r="G581" s="242">
        <v>-62533</v>
      </c>
      <c r="H581" s="239"/>
      <c r="I581" s="239"/>
      <c r="J581" s="210">
        <v>0</v>
      </c>
      <c r="K581" s="209">
        <v>0</v>
      </c>
      <c r="L581" s="209">
        <v>-62533</v>
      </c>
      <c r="M581" s="209">
        <v>0</v>
      </c>
      <c r="N581" s="242">
        <v>0</v>
      </c>
      <c r="O581" s="239"/>
    </row>
    <row r="582" spans="1:15" ht="23" x14ac:dyDescent="0.35">
      <c r="A582" s="211" t="s">
        <v>1248</v>
      </c>
      <c r="B582" s="211" t="s">
        <v>1249</v>
      </c>
      <c r="C582" s="209">
        <v>62533</v>
      </c>
      <c r="D582" s="209">
        <v>0</v>
      </c>
      <c r="E582" s="209">
        <v>0</v>
      </c>
      <c r="F582" s="209">
        <v>62533</v>
      </c>
      <c r="G582" s="242">
        <v>-62533</v>
      </c>
      <c r="H582" s="239"/>
      <c r="I582" s="239"/>
      <c r="J582" s="210">
        <v>0</v>
      </c>
      <c r="K582" s="209">
        <v>0</v>
      </c>
      <c r="L582" s="209">
        <v>-62533</v>
      </c>
      <c r="M582" s="209">
        <v>0</v>
      </c>
      <c r="N582" s="242">
        <v>0</v>
      </c>
      <c r="O582" s="239"/>
    </row>
    <row r="583" spans="1:15" ht="23" x14ac:dyDescent="0.35">
      <c r="A583" s="211" t="s">
        <v>1250</v>
      </c>
      <c r="B583" s="211" t="s">
        <v>1251</v>
      </c>
      <c r="C583" s="209">
        <v>62533</v>
      </c>
      <c r="D583" s="209">
        <v>0</v>
      </c>
      <c r="E583" s="209">
        <v>0</v>
      </c>
      <c r="F583" s="209">
        <v>62533</v>
      </c>
      <c r="G583" s="242">
        <v>-62533</v>
      </c>
      <c r="H583" s="239"/>
      <c r="I583" s="239"/>
      <c r="J583" s="210">
        <v>0</v>
      </c>
      <c r="K583" s="209">
        <v>0</v>
      </c>
      <c r="L583" s="209">
        <v>-62533</v>
      </c>
      <c r="M583" s="209">
        <v>0</v>
      </c>
      <c r="N583" s="242">
        <v>0</v>
      </c>
      <c r="O583" s="239"/>
    </row>
    <row r="584" spans="1:15" ht="23" x14ac:dyDescent="0.35">
      <c r="A584" s="211" t="s">
        <v>1252</v>
      </c>
      <c r="B584" s="211" t="s">
        <v>1253</v>
      </c>
      <c r="C584" s="209">
        <v>62533</v>
      </c>
      <c r="D584" s="209">
        <v>0</v>
      </c>
      <c r="E584" s="209">
        <v>0</v>
      </c>
      <c r="F584" s="209">
        <v>62533</v>
      </c>
      <c r="G584" s="242">
        <v>-62533</v>
      </c>
      <c r="H584" s="239"/>
      <c r="I584" s="239"/>
      <c r="J584" s="210">
        <v>0</v>
      </c>
      <c r="K584" s="209">
        <v>0</v>
      </c>
      <c r="L584" s="209">
        <v>-62533</v>
      </c>
      <c r="M584" s="209">
        <v>0</v>
      </c>
      <c r="N584" s="242">
        <v>0</v>
      </c>
      <c r="O584" s="239"/>
    </row>
    <row r="585" spans="1:15" ht="23" x14ac:dyDescent="0.35">
      <c r="A585" s="211" t="s">
        <v>1254</v>
      </c>
      <c r="B585" s="211" t="s">
        <v>1255</v>
      </c>
      <c r="C585" s="209">
        <v>62533</v>
      </c>
      <c r="D585" s="209">
        <v>0</v>
      </c>
      <c r="E585" s="209">
        <v>0</v>
      </c>
      <c r="F585" s="209">
        <v>62533</v>
      </c>
      <c r="G585" s="242">
        <v>-62533</v>
      </c>
      <c r="H585" s="239"/>
      <c r="I585" s="239"/>
      <c r="J585" s="210">
        <v>0</v>
      </c>
      <c r="K585" s="209">
        <v>0</v>
      </c>
      <c r="L585" s="209">
        <v>-62533</v>
      </c>
      <c r="M585" s="209">
        <v>0</v>
      </c>
      <c r="N585" s="242">
        <v>0</v>
      </c>
      <c r="O585" s="239"/>
    </row>
    <row r="586" spans="1:15" x14ac:dyDescent="0.35">
      <c r="A586" s="211" t="s">
        <v>1256</v>
      </c>
      <c r="B586" s="211" t="s">
        <v>1257</v>
      </c>
      <c r="C586" s="209">
        <v>189600</v>
      </c>
      <c r="D586" s="209">
        <v>0</v>
      </c>
      <c r="E586" s="209">
        <v>0</v>
      </c>
      <c r="F586" s="209">
        <v>189600</v>
      </c>
      <c r="G586" s="242">
        <v>-189600</v>
      </c>
      <c r="H586" s="239"/>
      <c r="I586" s="239"/>
      <c r="J586" s="210">
        <v>0</v>
      </c>
      <c r="K586" s="209">
        <v>0</v>
      </c>
      <c r="L586" s="209">
        <v>-189600</v>
      </c>
      <c r="M586" s="209">
        <v>0</v>
      </c>
      <c r="N586" s="242">
        <v>0</v>
      </c>
      <c r="O586" s="239"/>
    </row>
    <row r="587" spans="1:15" ht="23" x14ac:dyDescent="0.35">
      <c r="A587" s="211" t="s">
        <v>1258</v>
      </c>
      <c r="B587" s="211" t="s">
        <v>1259</v>
      </c>
      <c r="C587" s="209">
        <v>542510.68999999994</v>
      </c>
      <c r="D587" s="209">
        <v>0</v>
      </c>
      <c r="E587" s="209">
        <v>0</v>
      </c>
      <c r="F587" s="209">
        <v>542510.68999999994</v>
      </c>
      <c r="G587" s="242">
        <v>-542510.68999999994</v>
      </c>
      <c r="H587" s="239"/>
      <c r="I587" s="239"/>
      <c r="J587" s="210">
        <v>0</v>
      </c>
      <c r="K587" s="209">
        <v>0</v>
      </c>
      <c r="L587" s="209">
        <v>-542510.68999999994</v>
      </c>
      <c r="M587" s="209">
        <v>0</v>
      </c>
      <c r="N587" s="242">
        <v>0</v>
      </c>
      <c r="O587" s="239"/>
    </row>
    <row r="588" spans="1:15" x14ac:dyDescent="0.35">
      <c r="A588" s="211" t="s">
        <v>1260</v>
      </c>
      <c r="B588" s="211" t="s">
        <v>1261</v>
      </c>
      <c r="C588" s="209">
        <v>738078.73</v>
      </c>
      <c r="D588" s="209">
        <v>0</v>
      </c>
      <c r="E588" s="209">
        <v>0</v>
      </c>
      <c r="F588" s="209">
        <v>738078.73</v>
      </c>
      <c r="G588" s="242">
        <v>-393636.32</v>
      </c>
      <c r="H588" s="239"/>
      <c r="I588" s="239"/>
      <c r="J588" s="210">
        <v>-49206</v>
      </c>
      <c r="K588" s="209">
        <v>0</v>
      </c>
      <c r="L588" s="209">
        <v>-442842.32</v>
      </c>
      <c r="M588" s="209">
        <v>344442.41</v>
      </c>
      <c r="N588" s="242">
        <v>295236.40999999997</v>
      </c>
      <c r="O588" s="239"/>
    </row>
    <row r="589" spans="1:15" ht="23" x14ac:dyDescent="0.35">
      <c r="A589" s="211" t="s">
        <v>1262</v>
      </c>
      <c r="B589" s="211" t="s">
        <v>1263</v>
      </c>
      <c r="C589" s="209">
        <v>128215</v>
      </c>
      <c r="D589" s="209">
        <v>0</v>
      </c>
      <c r="E589" s="209">
        <v>0</v>
      </c>
      <c r="F589" s="209">
        <v>128215</v>
      </c>
      <c r="G589" s="242">
        <v>-128215</v>
      </c>
      <c r="H589" s="239"/>
      <c r="I589" s="239"/>
      <c r="J589" s="210">
        <v>0</v>
      </c>
      <c r="K589" s="209">
        <v>0</v>
      </c>
      <c r="L589" s="209">
        <v>-128215</v>
      </c>
      <c r="M589" s="209">
        <v>0</v>
      </c>
      <c r="N589" s="242">
        <v>0</v>
      </c>
      <c r="O589" s="239"/>
    </row>
    <row r="590" spans="1:15" x14ac:dyDescent="0.35">
      <c r="A590" s="211" t="s">
        <v>1264</v>
      </c>
      <c r="B590" s="211" t="s">
        <v>1265</v>
      </c>
      <c r="C590" s="209">
        <v>9071.1200000000008</v>
      </c>
      <c r="D590" s="209">
        <v>0</v>
      </c>
      <c r="E590" s="209">
        <v>0</v>
      </c>
      <c r="F590" s="209">
        <v>9071.1200000000008</v>
      </c>
      <c r="G590" s="242">
        <v>-9071.1200000000008</v>
      </c>
      <c r="H590" s="239"/>
      <c r="I590" s="239"/>
      <c r="J590" s="210">
        <v>0</v>
      </c>
      <c r="K590" s="209">
        <v>0</v>
      </c>
      <c r="L590" s="209">
        <v>-9071.1200000000008</v>
      </c>
      <c r="M590" s="209">
        <v>0</v>
      </c>
      <c r="N590" s="242">
        <v>0</v>
      </c>
      <c r="O590" s="239"/>
    </row>
    <row r="591" spans="1:15" x14ac:dyDescent="0.35">
      <c r="A591" s="211" t="s">
        <v>1266</v>
      </c>
      <c r="B591" s="211" t="s">
        <v>1267</v>
      </c>
      <c r="C591" s="209">
        <v>26512.98</v>
      </c>
      <c r="D591" s="209">
        <v>0</v>
      </c>
      <c r="E591" s="209">
        <v>0</v>
      </c>
      <c r="F591" s="209">
        <v>26512.98</v>
      </c>
      <c r="G591" s="242">
        <v>-26512.98</v>
      </c>
      <c r="H591" s="239"/>
      <c r="I591" s="239"/>
      <c r="J591" s="210">
        <v>0</v>
      </c>
      <c r="K591" s="209">
        <v>0</v>
      </c>
      <c r="L591" s="209">
        <v>-26512.98</v>
      </c>
      <c r="M591" s="209">
        <v>0</v>
      </c>
      <c r="N591" s="242">
        <v>0</v>
      </c>
      <c r="O591" s="239"/>
    </row>
    <row r="592" spans="1:15" ht="23" x14ac:dyDescent="0.35">
      <c r="A592" s="211" t="s">
        <v>1268</v>
      </c>
      <c r="B592" s="211" t="s">
        <v>1269</v>
      </c>
      <c r="C592" s="209">
        <v>65900</v>
      </c>
      <c r="D592" s="209">
        <v>0</v>
      </c>
      <c r="E592" s="209">
        <v>0</v>
      </c>
      <c r="F592" s="209">
        <v>65900</v>
      </c>
      <c r="G592" s="242">
        <v>-65900</v>
      </c>
      <c r="H592" s="239"/>
      <c r="I592" s="239"/>
      <c r="J592" s="210">
        <v>0</v>
      </c>
      <c r="K592" s="209">
        <v>0</v>
      </c>
      <c r="L592" s="209">
        <v>-65900</v>
      </c>
      <c r="M592" s="209">
        <v>0</v>
      </c>
      <c r="N592" s="242">
        <v>0</v>
      </c>
      <c r="O592" s="239"/>
    </row>
    <row r="593" spans="1:15" ht="23" x14ac:dyDescent="0.35">
      <c r="A593" s="211" t="s">
        <v>1270</v>
      </c>
      <c r="B593" s="211" t="s">
        <v>1271</v>
      </c>
      <c r="C593" s="209">
        <v>39502.5</v>
      </c>
      <c r="D593" s="209">
        <v>0</v>
      </c>
      <c r="E593" s="209">
        <v>0</v>
      </c>
      <c r="F593" s="209">
        <v>39502.5</v>
      </c>
      <c r="G593" s="242">
        <v>-39502.5</v>
      </c>
      <c r="H593" s="239"/>
      <c r="I593" s="239"/>
      <c r="J593" s="210">
        <v>0</v>
      </c>
      <c r="K593" s="209">
        <v>0</v>
      </c>
      <c r="L593" s="209">
        <v>-39502.5</v>
      </c>
      <c r="M593" s="209">
        <v>0</v>
      </c>
      <c r="N593" s="242">
        <v>0</v>
      </c>
      <c r="O593" s="239"/>
    </row>
    <row r="594" spans="1:15" ht="23" x14ac:dyDescent="0.35">
      <c r="A594" s="211" t="s">
        <v>1272</v>
      </c>
      <c r="B594" s="211" t="s">
        <v>1273</v>
      </c>
      <c r="C594" s="209">
        <v>277166</v>
      </c>
      <c r="D594" s="209">
        <v>0</v>
      </c>
      <c r="E594" s="209">
        <v>0</v>
      </c>
      <c r="F594" s="209">
        <v>277166</v>
      </c>
      <c r="G594" s="242">
        <v>-205567</v>
      </c>
      <c r="H594" s="239"/>
      <c r="I594" s="239"/>
      <c r="J594" s="210">
        <v>-27716</v>
      </c>
      <c r="K594" s="209">
        <v>0</v>
      </c>
      <c r="L594" s="209">
        <v>-233283</v>
      </c>
      <c r="M594" s="209">
        <v>71599</v>
      </c>
      <c r="N594" s="242">
        <v>43883</v>
      </c>
      <c r="O594" s="239"/>
    </row>
    <row r="595" spans="1:15" ht="23" x14ac:dyDescent="0.35">
      <c r="A595" s="211" t="s">
        <v>1274</v>
      </c>
      <c r="B595" s="211" t="s">
        <v>1275</v>
      </c>
      <c r="C595" s="209">
        <v>82545</v>
      </c>
      <c r="D595" s="209">
        <v>0</v>
      </c>
      <c r="E595" s="209">
        <v>0</v>
      </c>
      <c r="F595" s="209">
        <v>82545</v>
      </c>
      <c r="G595" s="242">
        <v>-82545</v>
      </c>
      <c r="H595" s="239"/>
      <c r="I595" s="239"/>
      <c r="J595" s="210">
        <v>0</v>
      </c>
      <c r="K595" s="209">
        <v>0</v>
      </c>
      <c r="L595" s="209">
        <v>-82545</v>
      </c>
      <c r="M595" s="209">
        <v>0</v>
      </c>
      <c r="N595" s="242">
        <v>0</v>
      </c>
      <c r="O595" s="239"/>
    </row>
    <row r="596" spans="1:15" ht="34.5" x14ac:dyDescent="0.35">
      <c r="A596" s="211" t="s">
        <v>1276</v>
      </c>
      <c r="B596" s="211" t="s">
        <v>1277</v>
      </c>
      <c r="C596" s="209">
        <v>587400</v>
      </c>
      <c r="D596" s="209">
        <v>0</v>
      </c>
      <c r="E596" s="209">
        <v>0</v>
      </c>
      <c r="F596" s="209">
        <v>587400</v>
      </c>
      <c r="G596" s="242">
        <v>-435655</v>
      </c>
      <c r="H596" s="239"/>
      <c r="I596" s="239"/>
      <c r="J596" s="210">
        <v>-58740</v>
      </c>
      <c r="K596" s="209">
        <v>0</v>
      </c>
      <c r="L596" s="209">
        <v>-494395</v>
      </c>
      <c r="M596" s="209">
        <v>151745</v>
      </c>
      <c r="N596" s="242">
        <v>93005</v>
      </c>
      <c r="O596" s="239"/>
    </row>
    <row r="597" spans="1:15" ht="23" x14ac:dyDescent="0.35">
      <c r="A597" s="211" t="s">
        <v>1278</v>
      </c>
      <c r="B597" s="211" t="s">
        <v>1279</v>
      </c>
      <c r="C597" s="209">
        <v>205400</v>
      </c>
      <c r="D597" s="209">
        <v>0</v>
      </c>
      <c r="E597" s="209">
        <v>0</v>
      </c>
      <c r="F597" s="209">
        <v>205400</v>
      </c>
      <c r="G597" s="242">
        <v>-205400</v>
      </c>
      <c r="H597" s="239"/>
      <c r="I597" s="239"/>
      <c r="J597" s="210">
        <v>0</v>
      </c>
      <c r="K597" s="209">
        <v>0</v>
      </c>
      <c r="L597" s="209">
        <v>-205400</v>
      </c>
      <c r="M597" s="209">
        <v>0</v>
      </c>
      <c r="N597" s="242">
        <v>0</v>
      </c>
      <c r="O597" s="239"/>
    </row>
    <row r="598" spans="1:15" ht="23" x14ac:dyDescent="0.35">
      <c r="A598" s="211" t="s">
        <v>1280</v>
      </c>
      <c r="B598" s="211" t="s">
        <v>1281</v>
      </c>
      <c r="C598" s="209">
        <v>161157.5</v>
      </c>
      <c r="D598" s="209">
        <v>0</v>
      </c>
      <c r="E598" s="209">
        <v>0</v>
      </c>
      <c r="F598" s="209">
        <v>161157.5</v>
      </c>
      <c r="G598" s="242">
        <v>-78783</v>
      </c>
      <c r="H598" s="239"/>
      <c r="I598" s="239"/>
      <c r="J598" s="210">
        <v>-10744</v>
      </c>
      <c r="K598" s="209">
        <v>0</v>
      </c>
      <c r="L598" s="209">
        <v>-89527</v>
      </c>
      <c r="M598" s="209">
        <v>82374.5</v>
      </c>
      <c r="N598" s="242">
        <v>71630.5</v>
      </c>
      <c r="O598" s="239"/>
    </row>
    <row r="599" spans="1:15" ht="23" x14ac:dyDescent="0.35">
      <c r="A599" s="211" t="s">
        <v>1282</v>
      </c>
      <c r="B599" s="211" t="s">
        <v>1283</v>
      </c>
      <c r="C599" s="209">
        <v>161157.5</v>
      </c>
      <c r="D599" s="209">
        <v>0</v>
      </c>
      <c r="E599" s="209">
        <v>0</v>
      </c>
      <c r="F599" s="209">
        <v>161157.5</v>
      </c>
      <c r="G599" s="242">
        <v>-78783</v>
      </c>
      <c r="H599" s="239"/>
      <c r="I599" s="239"/>
      <c r="J599" s="210">
        <v>-10744</v>
      </c>
      <c r="K599" s="209">
        <v>0</v>
      </c>
      <c r="L599" s="209">
        <v>-89527</v>
      </c>
      <c r="M599" s="209">
        <v>82374.5</v>
      </c>
      <c r="N599" s="242">
        <v>71630.5</v>
      </c>
      <c r="O599" s="239"/>
    </row>
    <row r="600" spans="1:15" ht="23" x14ac:dyDescent="0.35">
      <c r="A600" s="211" t="s">
        <v>1284</v>
      </c>
      <c r="B600" s="211" t="s">
        <v>1285</v>
      </c>
      <c r="C600" s="209">
        <v>161157.5</v>
      </c>
      <c r="D600" s="209">
        <v>0</v>
      </c>
      <c r="E600" s="209">
        <v>0</v>
      </c>
      <c r="F600" s="209">
        <v>161157.5</v>
      </c>
      <c r="G600" s="242">
        <v>-78783</v>
      </c>
      <c r="H600" s="239"/>
      <c r="I600" s="239"/>
      <c r="J600" s="210">
        <v>-10744</v>
      </c>
      <c r="K600" s="209">
        <v>0</v>
      </c>
      <c r="L600" s="209">
        <v>-89527</v>
      </c>
      <c r="M600" s="209">
        <v>82374.5</v>
      </c>
      <c r="N600" s="242">
        <v>71630.5</v>
      </c>
      <c r="O600" s="239"/>
    </row>
    <row r="601" spans="1:15" ht="23" x14ac:dyDescent="0.35">
      <c r="A601" s="211" t="s">
        <v>1286</v>
      </c>
      <c r="B601" s="211" t="s">
        <v>1285</v>
      </c>
      <c r="C601" s="209">
        <v>161157.5</v>
      </c>
      <c r="D601" s="209">
        <v>0</v>
      </c>
      <c r="E601" s="209">
        <v>0</v>
      </c>
      <c r="F601" s="209">
        <v>161157.5</v>
      </c>
      <c r="G601" s="242">
        <v>-78783</v>
      </c>
      <c r="H601" s="239"/>
      <c r="I601" s="239"/>
      <c r="J601" s="210">
        <v>-10744</v>
      </c>
      <c r="K601" s="209">
        <v>0</v>
      </c>
      <c r="L601" s="209">
        <v>-89527</v>
      </c>
      <c r="M601" s="209">
        <v>82374.5</v>
      </c>
      <c r="N601" s="242">
        <v>71630.5</v>
      </c>
      <c r="O601" s="239"/>
    </row>
    <row r="602" spans="1:15" ht="23" x14ac:dyDescent="0.35">
      <c r="A602" s="211" t="s">
        <v>1287</v>
      </c>
      <c r="B602" s="211" t="s">
        <v>1288</v>
      </c>
      <c r="C602" s="209">
        <v>161157.5</v>
      </c>
      <c r="D602" s="209">
        <v>0</v>
      </c>
      <c r="E602" s="209">
        <v>0</v>
      </c>
      <c r="F602" s="209">
        <v>161157.5</v>
      </c>
      <c r="G602" s="242">
        <v>-78783</v>
      </c>
      <c r="H602" s="239"/>
      <c r="I602" s="239"/>
      <c r="J602" s="210">
        <v>-10744</v>
      </c>
      <c r="K602" s="209">
        <v>0</v>
      </c>
      <c r="L602" s="209">
        <v>-89527</v>
      </c>
      <c r="M602" s="209">
        <v>82374.5</v>
      </c>
      <c r="N602" s="242">
        <v>71630.5</v>
      </c>
      <c r="O602" s="239"/>
    </row>
    <row r="603" spans="1:15" ht="23" x14ac:dyDescent="0.35">
      <c r="A603" s="211" t="s">
        <v>1289</v>
      </c>
      <c r="B603" s="211" t="s">
        <v>1290</v>
      </c>
      <c r="C603" s="209">
        <v>161157.5</v>
      </c>
      <c r="D603" s="209">
        <v>0</v>
      </c>
      <c r="E603" s="209">
        <v>0</v>
      </c>
      <c r="F603" s="209">
        <v>161157.5</v>
      </c>
      <c r="G603" s="242">
        <v>-78783</v>
      </c>
      <c r="H603" s="239"/>
      <c r="I603" s="239"/>
      <c r="J603" s="210">
        <v>-10744</v>
      </c>
      <c r="K603" s="209">
        <v>0</v>
      </c>
      <c r="L603" s="209">
        <v>-89527</v>
      </c>
      <c r="M603" s="209">
        <v>82374.5</v>
      </c>
      <c r="N603" s="242">
        <v>71630.5</v>
      </c>
      <c r="O603" s="239"/>
    </row>
    <row r="604" spans="1:15" ht="23" x14ac:dyDescent="0.35">
      <c r="A604" s="211" t="s">
        <v>1291</v>
      </c>
      <c r="B604" s="211" t="s">
        <v>1292</v>
      </c>
      <c r="C604" s="209">
        <v>161157.5</v>
      </c>
      <c r="D604" s="209">
        <v>0</v>
      </c>
      <c r="E604" s="209">
        <v>0</v>
      </c>
      <c r="F604" s="209">
        <v>161157.5</v>
      </c>
      <c r="G604" s="242">
        <v>-78783</v>
      </c>
      <c r="H604" s="239"/>
      <c r="I604" s="239"/>
      <c r="J604" s="210">
        <v>-10744</v>
      </c>
      <c r="K604" s="209">
        <v>0</v>
      </c>
      <c r="L604" s="209">
        <v>-89527</v>
      </c>
      <c r="M604" s="209">
        <v>82374.5</v>
      </c>
      <c r="N604" s="242">
        <v>71630.5</v>
      </c>
      <c r="O604" s="239"/>
    </row>
    <row r="605" spans="1:15" ht="23" x14ac:dyDescent="0.35">
      <c r="A605" s="211" t="s">
        <v>1293</v>
      </c>
      <c r="B605" s="211" t="s">
        <v>1294</v>
      </c>
      <c r="C605" s="209">
        <v>161157.5</v>
      </c>
      <c r="D605" s="209">
        <v>0</v>
      </c>
      <c r="E605" s="209">
        <v>0</v>
      </c>
      <c r="F605" s="209">
        <v>161157.5</v>
      </c>
      <c r="G605" s="242">
        <v>-78783</v>
      </c>
      <c r="H605" s="239"/>
      <c r="I605" s="239"/>
      <c r="J605" s="210">
        <v>-10744</v>
      </c>
      <c r="K605" s="209">
        <v>0</v>
      </c>
      <c r="L605" s="209">
        <v>-89527</v>
      </c>
      <c r="M605" s="209">
        <v>82374.5</v>
      </c>
      <c r="N605" s="242">
        <v>71630.5</v>
      </c>
      <c r="O605" s="239"/>
    </row>
    <row r="606" spans="1:15" ht="23" x14ac:dyDescent="0.35">
      <c r="A606" s="211" t="s">
        <v>1295</v>
      </c>
      <c r="B606" s="211" t="s">
        <v>1296</v>
      </c>
      <c r="C606" s="209">
        <v>3220287.21</v>
      </c>
      <c r="D606" s="209">
        <v>0</v>
      </c>
      <c r="E606" s="209">
        <v>0</v>
      </c>
      <c r="F606" s="209">
        <v>3220287.21</v>
      </c>
      <c r="G606" s="242">
        <v>-1538580</v>
      </c>
      <c r="H606" s="239"/>
      <c r="I606" s="239"/>
      <c r="J606" s="210">
        <v>-214686</v>
      </c>
      <c r="K606" s="209">
        <v>0</v>
      </c>
      <c r="L606" s="209">
        <v>-1753266</v>
      </c>
      <c r="M606" s="209">
        <v>1681707.21</v>
      </c>
      <c r="N606" s="242">
        <v>1467021.21</v>
      </c>
      <c r="O606" s="239"/>
    </row>
    <row r="607" spans="1:15" x14ac:dyDescent="0.35">
      <c r="A607" s="211" t="s">
        <v>1297</v>
      </c>
      <c r="B607" s="211" t="s">
        <v>1298</v>
      </c>
      <c r="C607" s="209">
        <v>40696</v>
      </c>
      <c r="D607" s="209">
        <v>0</v>
      </c>
      <c r="E607" s="209">
        <v>0</v>
      </c>
      <c r="F607" s="209">
        <v>40696</v>
      </c>
      <c r="G607" s="242">
        <v>-40696</v>
      </c>
      <c r="H607" s="239"/>
      <c r="I607" s="239"/>
      <c r="J607" s="210">
        <v>0</v>
      </c>
      <c r="K607" s="209">
        <v>0</v>
      </c>
      <c r="L607" s="209">
        <v>-40696</v>
      </c>
      <c r="M607" s="209">
        <v>0</v>
      </c>
      <c r="N607" s="242">
        <v>0</v>
      </c>
      <c r="O607" s="239"/>
    </row>
    <row r="608" spans="1:15" ht="34.5" x14ac:dyDescent="0.35">
      <c r="A608" s="211" t="s">
        <v>1299</v>
      </c>
      <c r="B608" s="211" t="s">
        <v>1300</v>
      </c>
      <c r="C608" s="209">
        <v>177537.63</v>
      </c>
      <c r="D608" s="209">
        <v>0</v>
      </c>
      <c r="E608" s="209">
        <v>0</v>
      </c>
      <c r="F608" s="209">
        <v>177537.63</v>
      </c>
      <c r="G608" s="242">
        <v>-125755</v>
      </c>
      <c r="H608" s="239"/>
      <c r="I608" s="239"/>
      <c r="J608" s="210">
        <v>-17754</v>
      </c>
      <c r="K608" s="209">
        <v>0</v>
      </c>
      <c r="L608" s="209">
        <v>-143509</v>
      </c>
      <c r="M608" s="209">
        <v>51782.63</v>
      </c>
      <c r="N608" s="242">
        <v>34028.629999999997</v>
      </c>
      <c r="O608" s="239"/>
    </row>
    <row r="609" spans="1:15" ht="34.5" x14ac:dyDescent="0.35">
      <c r="A609" s="211" t="s">
        <v>1301</v>
      </c>
      <c r="B609" s="211" t="s">
        <v>1302</v>
      </c>
      <c r="C609" s="209">
        <v>96000</v>
      </c>
      <c r="D609" s="209">
        <v>0</v>
      </c>
      <c r="E609" s="209">
        <v>0</v>
      </c>
      <c r="F609" s="209">
        <v>96000</v>
      </c>
      <c r="G609" s="242">
        <v>-96000</v>
      </c>
      <c r="H609" s="239"/>
      <c r="I609" s="239"/>
      <c r="J609" s="210">
        <v>0</v>
      </c>
      <c r="K609" s="209">
        <v>0</v>
      </c>
      <c r="L609" s="209">
        <v>-96000</v>
      </c>
      <c r="M609" s="209">
        <v>0</v>
      </c>
      <c r="N609" s="242">
        <v>0</v>
      </c>
      <c r="O609" s="239"/>
    </row>
    <row r="610" spans="1:15" x14ac:dyDescent="0.35">
      <c r="A610" s="211" t="s">
        <v>1303</v>
      </c>
      <c r="B610" s="211" t="s">
        <v>1304</v>
      </c>
      <c r="C610" s="209">
        <v>274600</v>
      </c>
      <c r="D610" s="209">
        <v>0</v>
      </c>
      <c r="E610" s="209">
        <v>0</v>
      </c>
      <c r="F610" s="209">
        <v>274600</v>
      </c>
      <c r="G610" s="242">
        <v>-194505</v>
      </c>
      <c r="H610" s="239"/>
      <c r="I610" s="239"/>
      <c r="J610" s="210">
        <v>-27461</v>
      </c>
      <c r="K610" s="209">
        <v>0</v>
      </c>
      <c r="L610" s="209">
        <v>-221966</v>
      </c>
      <c r="M610" s="209">
        <v>80095</v>
      </c>
      <c r="N610" s="242">
        <v>52634</v>
      </c>
      <c r="O610" s="239"/>
    </row>
    <row r="611" spans="1:15" ht="23" x14ac:dyDescent="0.35">
      <c r="A611" s="211" t="s">
        <v>1305</v>
      </c>
      <c r="B611" s="211" t="s">
        <v>1306</v>
      </c>
      <c r="C611" s="209">
        <v>545381</v>
      </c>
      <c r="D611" s="209">
        <v>0</v>
      </c>
      <c r="E611" s="209">
        <v>0</v>
      </c>
      <c r="F611" s="209">
        <v>545381</v>
      </c>
      <c r="G611" s="242">
        <v>-545381</v>
      </c>
      <c r="H611" s="239"/>
      <c r="I611" s="239"/>
      <c r="J611" s="210">
        <v>0</v>
      </c>
      <c r="K611" s="209">
        <v>0</v>
      </c>
      <c r="L611" s="209">
        <v>-545381</v>
      </c>
      <c r="M611" s="209">
        <v>0</v>
      </c>
      <c r="N611" s="242">
        <v>0</v>
      </c>
      <c r="O611" s="239"/>
    </row>
    <row r="612" spans="1:15" ht="34.5" x14ac:dyDescent="0.35">
      <c r="A612" s="211" t="s">
        <v>1307</v>
      </c>
      <c r="B612" s="211" t="s">
        <v>1308</v>
      </c>
      <c r="C612" s="209">
        <v>320937.43</v>
      </c>
      <c r="D612" s="209">
        <v>0</v>
      </c>
      <c r="E612" s="209">
        <v>0</v>
      </c>
      <c r="F612" s="209">
        <v>320937.43</v>
      </c>
      <c r="G612" s="242">
        <v>-227330</v>
      </c>
      <c r="H612" s="239"/>
      <c r="I612" s="239"/>
      <c r="J612" s="210">
        <v>-32094</v>
      </c>
      <c r="K612" s="209">
        <v>0</v>
      </c>
      <c r="L612" s="209">
        <v>-259424</v>
      </c>
      <c r="M612" s="209">
        <v>93607.43</v>
      </c>
      <c r="N612" s="242">
        <v>61513.43</v>
      </c>
      <c r="O612" s="239"/>
    </row>
    <row r="613" spans="1:15" x14ac:dyDescent="0.35">
      <c r="A613" s="211" t="s">
        <v>1309</v>
      </c>
      <c r="B613" s="211" t="s">
        <v>1310</v>
      </c>
      <c r="C613" s="209">
        <v>325000</v>
      </c>
      <c r="D613" s="209">
        <v>0</v>
      </c>
      <c r="E613" s="209">
        <v>0</v>
      </c>
      <c r="F613" s="209">
        <v>325000</v>
      </c>
      <c r="G613" s="242">
        <v>-227497</v>
      </c>
      <c r="H613" s="239"/>
      <c r="I613" s="239"/>
      <c r="J613" s="210">
        <v>-32501</v>
      </c>
      <c r="K613" s="209">
        <v>0</v>
      </c>
      <c r="L613" s="209">
        <v>-259998</v>
      </c>
      <c r="M613" s="209">
        <v>97503</v>
      </c>
      <c r="N613" s="242">
        <v>65002</v>
      </c>
      <c r="O613" s="239"/>
    </row>
    <row r="614" spans="1:15" x14ac:dyDescent="0.35">
      <c r="A614" s="211" t="s">
        <v>1311</v>
      </c>
      <c r="B614" s="211" t="s">
        <v>1312</v>
      </c>
      <c r="C614" s="209">
        <v>155000</v>
      </c>
      <c r="D614" s="209">
        <v>0</v>
      </c>
      <c r="E614" s="209">
        <v>0</v>
      </c>
      <c r="F614" s="209">
        <v>155000</v>
      </c>
      <c r="G614" s="242">
        <v>-155000</v>
      </c>
      <c r="H614" s="239"/>
      <c r="I614" s="239"/>
      <c r="J614" s="210">
        <v>0</v>
      </c>
      <c r="K614" s="209">
        <v>0</v>
      </c>
      <c r="L614" s="209">
        <v>-155000</v>
      </c>
      <c r="M614" s="209">
        <v>0</v>
      </c>
      <c r="N614" s="242">
        <v>0</v>
      </c>
      <c r="O614" s="239"/>
    </row>
    <row r="615" spans="1:15" ht="34.5" x14ac:dyDescent="0.35">
      <c r="A615" s="211" t="s">
        <v>1313</v>
      </c>
      <c r="B615" s="211" t="s">
        <v>1314</v>
      </c>
      <c r="C615" s="209">
        <v>76330.42</v>
      </c>
      <c r="D615" s="209">
        <v>0</v>
      </c>
      <c r="E615" s="209">
        <v>0</v>
      </c>
      <c r="F615" s="209">
        <v>76330.42</v>
      </c>
      <c r="G615" s="242">
        <v>-76330.42</v>
      </c>
      <c r="H615" s="239"/>
      <c r="I615" s="239"/>
      <c r="J615" s="210">
        <v>0</v>
      </c>
      <c r="K615" s="209">
        <v>0</v>
      </c>
      <c r="L615" s="209">
        <v>-76330.42</v>
      </c>
      <c r="M615" s="209">
        <v>0</v>
      </c>
      <c r="N615" s="242">
        <v>0</v>
      </c>
      <c r="O615" s="239"/>
    </row>
    <row r="616" spans="1:15" ht="23" x14ac:dyDescent="0.35">
      <c r="A616" s="211" t="s">
        <v>1315</v>
      </c>
      <c r="B616" s="211" t="s">
        <v>1316</v>
      </c>
      <c r="C616" s="209">
        <v>92500</v>
      </c>
      <c r="D616" s="209">
        <v>0</v>
      </c>
      <c r="E616" s="209">
        <v>0</v>
      </c>
      <c r="F616" s="209">
        <v>92500</v>
      </c>
      <c r="G616" s="242">
        <v>-92500</v>
      </c>
      <c r="H616" s="239"/>
      <c r="I616" s="239"/>
      <c r="J616" s="210">
        <v>0</v>
      </c>
      <c r="K616" s="209">
        <v>0</v>
      </c>
      <c r="L616" s="209">
        <v>-92500</v>
      </c>
      <c r="M616" s="209">
        <v>0</v>
      </c>
      <c r="N616" s="242">
        <v>0</v>
      </c>
      <c r="O616" s="239"/>
    </row>
    <row r="617" spans="1:15" ht="23" x14ac:dyDescent="0.35">
      <c r="A617" s="211" t="s">
        <v>1317</v>
      </c>
      <c r="B617" s="211" t="s">
        <v>1318</v>
      </c>
      <c r="C617" s="209">
        <v>172311.5</v>
      </c>
      <c r="D617" s="209">
        <v>0</v>
      </c>
      <c r="E617" s="209">
        <v>0</v>
      </c>
      <c r="F617" s="209">
        <v>172311.5</v>
      </c>
      <c r="G617" s="242">
        <v>-80408</v>
      </c>
      <c r="H617" s="239"/>
      <c r="I617" s="239"/>
      <c r="J617" s="210">
        <v>-11488</v>
      </c>
      <c r="K617" s="209">
        <v>0</v>
      </c>
      <c r="L617" s="209">
        <v>-91896</v>
      </c>
      <c r="M617" s="209">
        <v>91903.5</v>
      </c>
      <c r="N617" s="242">
        <v>80415.5</v>
      </c>
      <c r="O617" s="239"/>
    </row>
    <row r="618" spans="1:15" ht="23" x14ac:dyDescent="0.35">
      <c r="A618" s="211" t="s">
        <v>1319</v>
      </c>
      <c r="B618" s="211" t="s">
        <v>1320</v>
      </c>
      <c r="C618" s="209">
        <v>594864</v>
      </c>
      <c r="D618" s="209">
        <v>0</v>
      </c>
      <c r="E618" s="209">
        <v>0</v>
      </c>
      <c r="F618" s="209">
        <v>594864</v>
      </c>
      <c r="G618" s="242">
        <v>-416403</v>
      </c>
      <c r="H618" s="239"/>
      <c r="I618" s="239"/>
      <c r="J618" s="210">
        <v>-59487</v>
      </c>
      <c r="K618" s="209">
        <v>0</v>
      </c>
      <c r="L618" s="209">
        <v>-475890</v>
      </c>
      <c r="M618" s="209">
        <v>178461</v>
      </c>
      <c r="N618" s="242">
        <v>118974</v>
      </c>
      <c r="O618" s="239"/>
    </row>
    <row r="619" spans="1:15" ht="23" x14ac:dyDescent="0.35">
      <c r="A619" s="211" t="s">
        <v>1321</v>
      </c>
      <c r="B619" s="211" t="s">
        <v>1322</v>
      </c>
      <c r="C619" s="209">
        <v>104915</v>
      </c>
      <c r="D619" s="209">
        <v>0</v>
      </c>
      <c r="E619" s="209">
        <v>0</v>
      </c>
      <c r="F619" s="209">
        <v>104915</v>
      </c>
      <c r="G619" s="242">
        <v>-73438</v>
      </c>
      <c r="H619" s="239"/>
      <c r="I619" s="239"/>
      <c r="J619" s="210">
        <v>-10492</v>
      </c>
      <c r="K619" s="209">
        <v>0</v>
      </c>
      <c r="L619" s="209">
        <v>-83930</v>
      </c>
      <c r="M619" s="209">
        <v>31477</v>
      </c>
      <c r="N619" s="242">
        <v>20985</v>
      </c>
      <c r="O619" s="239"/>
    </row>
    <row r="620" spans="1:15" ht="23" x14ac:dyDescent="0.35">
      <c r="A620" s="211" t="s">
        <v>1323</v>
      </c>
      <c r="B620" s="211" t="s">
        <v>1324</v>
      </c>
      <c r="C620" s="209">
        <v>100901</v>
      </c>
      <c r="D620" s="209">
        <v>0</v>
      </c>
      <c r="E620" s="209">
        <v>0</v>
      </c>
      <c r="F620" s="209">
        <v>100901</v>
      </c>
      <c r="G620" s="242">
        <v>-70632</v>
      </c>
      <c r="H620" s="239"/>
      <c r="I620" s="239"/>
      <c r="J620" s="210">
        <v>-10090</v>
      </c>
      <c r="K620" s="209">
        <v>0</v>
      </c>
      <c r="L620" s="209">
        <v>-80722</v>
      </c>
      <c r="M620" s="209">
        <v>30269</v>
      </c>
      <c r="N620" s="242">
        <v>20179</v>
      </c>
      <c r="O620" s="239"/>
    </row>
    <row r="621" spans="1:15" ht="23" x14ac:dyDescent="0.35">
      <c r="A621" s="211" t="s">
        <v>1325</v>
      </c>
      <c r="B621" s="211" t="s">
        <v>1326</v>
      </c>
      <c r="C621" s="209">
        <v>525600</v>
      </c>
      <c r="D621" s="209">
        <v>0</v>
      </c>
      <c r="E621" s="209">
        <v>0</v>
      </c>
      <c r="F621" s="209">
        <v>525600</v>
      </c>
      <c r="G621" s="242">
        <v>-245280</v>
      </c>
      <c r="H621" s="239"/>
      <c r="I621" s="239"/>
      <c r="J621" s="210">
        <v>-35040</v>
      </c>
      <c r="K621" s="209">
        <v>0</v>
      </c>
      <c r="L621" s="209">
        <v>-280320</v>
      </c>
      <c r="M621" s="209">
        <v>280320</v>
      </c>
      <c r="N621" s="242">
        <v>245280</v>
      </c>
      <c r="O621" s="239"/>
    </row>
    <row r="622" spans="1:15" x14ac:dyDescent="0.35">
      <c r="A622" s="211" t="s">
        <v>1327</v>
      </c>
      <c r="B622" s="211" t="s">
        <v>1328</v>
      </c>
      <c r="C622" s="209">
        <v>2712665.38</v>
      </c>
      <c r="D622" s="209">
        <v>0</v>
      </c>
      <c r="E622" s="209">
        <v>0</v>
      </c>
      <c r="F622" s="209">
        <v>2712665.38</v>
      </c>
      <c r="G622" s="242">
        <v>-1898867</v>
      </c>
      <c r="H622" s="239"/>
      <c r="I622" s="239"/>
      <c r="J622" s="210">
        <v>-271266</v>
      </c>
      <c r="K622" s="209">
        <v>0</v>
      </c>
      <c r="L622" s="209">
        <v>-2170133</v>
      </c>
      <c r="M622" s="209">
        <v>813798.38</v>
      </c>
      <c r="N622" s="242">
        <v>542532.38</v>
      </c>
      <c r="O622" s="239"/>
    </row>
    <row r="623" spans="1:15" ht="34.5" x14ac:dyDescent="0.35">
      <c r="A623" s="211" t="s">
        <v>1329</v>
      </c>
      <c r="B623" s="211" t="s">
        <v>1330</v>
      </c>
      <c r="C623" s="209">
        <v>203661.55</v>
      </c>
      <c r="D623" s="209">
        <v>0</v>
      </c>
      <c r="E623" s="209">
        <v>0</v>
      </c>
      <c r="F623" s="209">
        <v>203661.55</v>
      </c>
      <c r="G623" s="242">
        <v>-137470</v>
      </c>
      <c r="H623" s="239"/>
      <c r="I623" s="239"/>
      <c r="J623" s="210">
        <v>-20367</v>
      </c>
      <c r="K623" s="209">
        <v>0</v>
      </c>
      <c r="L623" s="209">
        <v>-157837</v>
      </c>
      <c r="M623" s="209">
        <v>66191.55</v>
      </c>
      <c r="N623" s="242">
        <v>45824.55</v>
      </c>
      <c r="O623" s="239"/>
    </row>
    <row r="624" spans="1:15" x14ac:dyDescent="0.35">
      <c r="A624" s="211" t="s">
        <v>1331</v>
      </c>
      <c r="B624" s="211" t="s">
        <v>1332</v>
      </c>
      <c r="C624" s="209">
        <v>998870.5</v>
      </c>
      <c r="D624" s="209">
        <v>0</v>
      </c>
      <c r="E624" s="209">
        <v>0</v>
      </c>
      <c r="F624" s="209">
        <v>998870.5</v>
      </c>
      <c r="G624" s="242">
        <v>-449488</v>
      </c>
      <c r="H624" s="239"/>
      <c r="I624" s="239"/>
      <c r="J624" s="210">
        <v>-66592</v>
      </c>
      <c r="K624" s="209">
        <v>0</v>
      </c>
      <c r="L624" s="209">
        <v>-516080</v>
      </c>
      <c r="M624" s="209">
        <v>549382.5</v>
      </c>
      <c r="N624" s="242">
        <v>482790.5</v>
      </c>
      <c r="O624" s="239"/>
    </row>
    <row r="625" spans="1:15" x14ac:dyDescent="0.35">
      <c r="A625" s="211" t="s">
        <v>1333</v>
      </c>
      <c r="B625" s="211" t="s">
        <v>1334</v>
      </c>
      <c r="C625" s="209">
        <v>91090</v>
      </c>
      <c r="D625" s="209">
        <v>0</v>
      </c>
      <c r="E625" s="209">
        <v>0</v>
      </c>
      <c r="F625" s="209">
        <v>91090</v>
      </c>
      <c r="G625" s="242">
        <v>-91090</v>
      </c>
      <c r="H625" s="239"/>
      <c r="I625" s="239"/>
      <c r="J625" s="210">
        <v>0</v>
      </c>
      <c r="K625" s="209">
        <v>0</v>
      </c>
      <c r="L625" s="209">
        <v>-91090</v>
      </c>
      <c r="M625" s="209">
        <v>0</v>
      </c>
      <c r="N625" s="242">
        <v>0</v>
      </c>
      <c r="O625" s="239"/>
    </row>
    <row r="626" spans="1:15" x14ac:dyDescent="0.35">
      <c r="A626" s="211" t="s">
        <v>1335</v>
      </c>
      <c r="B626" s="211" t="s">
        <v>1336</v>
      </c>
      <c r="C626" s="209">
        <v>315000</v>
      </c>
      <c r="D626" s="209">
        <v>0</v>
      </c>
      <c r="E626" s="209">
        <v>0</v>
      </c>
      <c r="F626" s="209">
        <v>315000</v>
      </c>
      <c r="G626" s="242">
        <v>-315000</v>
      </c>
      <c r="H626" s="239"/>
      <c r="I626" s="239"/>
      <c r="J626" s="210">
        <v>0</v>
      </c>
      <c r="K626" s="209">
        <v>0</v>
      </c>
      <c r="L626" s="209">
        <v>-315000</v>
      </c>
      <c r="M626" s="209">
        <v>0</v>
      </c>
      <c r="N626" s="242">
        <v>0</v>
      </c>
      <c r="O626" s="239"/>
    </row>
    <row r="627" spans="1:15" ht="23" x14ac:dyDescent="0.35">
      <c r="A627" s="211" t="s">
        <v>1337</v>
      </c>
      <c r="B627" s="211" t="s">
        <v>1338</v>
      </c>
      <c r="C627" s="209">
        <v>667668</v>
      </c>
      <c r="D627" s="209">
        <v>0</v>
      </c>
      <c r="E627" s="209">
        <v>0</v>
      </c>
      <c r="F627" s="209">
        <v>667668</v>
      </c>
      <c r="G627" s="242">
        <v>-274484</v>
      </c>
      <c r="H627" s="239"/>
      <c r="I627" s="239"/>
      <c r="J627" s="210">
        <v>-44511</v>
      </c>
      <c r="K627" s="209">
        <v>0</v>
      </c>
      <c r="L627" s="209">
        <v>-318995</v>
      </c>
      <c r="M627" s="209">
        <v>393184</v>
      </c>
      <c r="N627" s="242">
        <v>348673</v>
      </c>
      <c r="O627" s="239"/>
    </row>
    <row r="628" spans="1:15" ht="23" x14ac:dyDescent="0.35">
      <c r="A628" s="211" t="s">
        <v>1339</v>
      </c>
      <c r="B628" s="211" t="s">
        <v>1340</v>
      </c>
      <c r="C628" s="209">
        <v>811442.7</v>
      </c>
      <c r="D628" s="209">
        <v>0</v>
      </c>
      <c r="E628" s="209">
        <v>0</v>
      </c>
      <c r="F628" s="209">
        <v>811442.7</v>
      </c>
      <c r="G628" s="242">
        <v>-333593</v>
      </c>
      <c r="H628" s="239"/>
      <c r="I628" s="239"/>
      <c r="J628" s="210">
        <v>-54096</v>
      </c>
      <c r="K628" s="209">
        <v>0</v>
      </c>
      <c r="L628" s="209">
        <v>-387689</v>
      </c>
      <c r="M628" s="209">
        <v>477849.7</v>
      </c>
      <c r="N628" s="242">
        <v>423753.7</v>
      </c>
      <c r="O628" s="239"/>
    </row>
    <row r="629" spans="1:15" ht="23" x14ac:dyDescent="0.35">
      <c r="A629" s="211" t="s">
        <v>1341</v>
      </c>
      <c r="B629" s="211" t="s">
        <v>1342</v>
      </c>
      <c r="C629" s="209">
        <v>40884</v>
      </c>
      <c r="D629" s="209">
        <v>0</v>
      </c>
      <c r="E629" s="209">
        <v>0</v>
      </c>
      <c r="F629" s="209">
        <v>40884</v>
      </c>
      <c r="G629" s="242">
        <v>-40884</v>
      </c>
      <c r="H629" s="239"/>
      <c r="I629" s="239"/>
      <c r="J629" s="210">
        <v>0</v>
      </c>
      <c r="K629" s="209">
        <v>0</v>
      </c>
      <c r="L629" s="209">
        <v>-40884</v>
      </c>
      <c r="M629" s="209">
        <v>0</v>
      </c>
      <c r="N629" s="242">
        <v>0</v>
      </c>
      <c r="O629" s="239"/>
    </row>
    <row r="630" spans="1:15" ht="34.5" x14ac:dyDescent="0.35">
      <c r="A630" s="211" t="s">
        <v>1343</v>
      </c>
      <c r="B630" s="211" t="s">
        <v>1344</v>
      </c>
      <c r="C630" s="209">
        <v>33480</v>
      </c>
      <c r="D630" s="209">
        <v>0</v>
      </c>
      <c r="E630" s="209">
        <v>0</v>
      </c>
      <c r="F630" s="209">
        <v>33480</v>
      </c>
      <c r="G630" s="242">
        <v>-33480</v>
      </c>
      <c r="H630" s="239"/>
      <c r="I630" s="239"/>
      <c r="J630" s="210">
        <v>0</v>
      </c>
      <c r="K630" s="209">
        <v>0</v>
      </c>
      <c r="L630" s="209">
        <v>-33480</v>
      </c>
      <c r="M630" s="209">
        <v>0</v>
      </c>
      <c r="N630" s="242">
        <v>0</v>
      </c>
      <c r="O630" s="239"/>
    </row>
    <row r="631" spans="1:15" ht="34.5" x14ac:dyDescent="0.35">
      <c r="A631" s="211" t="s">
        <v>1345</v>
      </c>
      <c r="B631" s="211" t="s">
        <v>1346</v>
      </c>
      <c r="C631" s="209">
        <v>58648.75</v>
      </c>
      <c r="D631" s="209">
        <v>0</v>
      </c>
      <c r="E631" s="209">
        <v>0</v>
      </c>
      <c r="F631" s="209">
        <v>58648.75</v>
      </c>
      <c r="G631" s="242">
        <v>-58648.75</v>
      </c>
      <c r="H631" s="239"/>
      <c r="I631" s="239"/>
      <c r="J631" s="210">
        <v>0</v>
      </c>
      <c r="K631" s="209">
        <v>0</v>
      </c>
      <c r="L631" s="209">
        <v>-58648.75</v>
      </c>
      <c r="M631" s="209">
        <v>0</v>
      </c>
      <c r="N631" s="242">
        <v>0</v>
      </c>
      <c r="O631" s="239"/>
    </row>
    <row r="632" spans="1:15" x14ac:dyDescent="0.35">
      <c r="A632" s="211" t="s">
        <v>1347</v>
      </c>
      <c r="B632" s="211" t="s">
        <v>1348</v>
      </c>
      <c r="C632" s="209">
        <v>332829.59999999998</v>
      </c>
      <c r="D632" s="209">
        <v>0</v>
      </c>
      <c r="E632" s="209">
        <v>0</v>
      </c>
      <c r="F632" s="209">
        <v>332829.59999999998</v>
      </c>
      <c r="G632" s="242">
        <v>-134980</v>
      </c>
      <c r="H632" s="239"/>
      <c r="I632" s="239"/>
      <c r="J632" s="210">
        <v>-22189</v>
      </c>
      <c r="K632" s="209">
        <v>0</v>
      </c>
      <c r="L632" s="209">
        <v>-157169</v>
      </c>
      <c r="M632" s="209">
        <v>197849.60000000001</v>
      </c>
      <c r="N632" s="242">
        <v>175660.6</v>
      </c>
      <c r="O632" s="239"/>
    </row>
    <row r="633" spans="1:15" x14ac:dyDescent="0.35">
      <c r="A633" s="211" t="s">
        <v>1349</v>
      </c>
      <c r="B633" s="211" t="s">
        <v>1350</v>
      </c>
      <c r="C633" s="209">
        <v>2102327</v>
      </c>
      <c r="D633" s="209">
        <v>0</v>
      </c>
      <c r="E633" s="209">
        <v>0</v>
      </c>
      <c r="F633" s="209">
        <v>2102327</v>
      </c>
      <c r="G633" s="242">
        <v>-852613</v>
      </c>
      <c r="H633" s="239"/>
      <c r="I633" s="239"/>
      <c r="J633" s="210">
        <v>-140155</v>
      </c>
      <c r="K633" s="209">
        <v>0</v>
      </c>
      <c r="L633" s="209">
        <v>-992768</v>
      </c>
      <c r="M633" s="209">
        <v>1249714</v>
      </c>
      <c r="N633" s="242">
        <v>1109559</v>
      </c>
      <c r="O633" s="239"/>
    </row>
    <row r="634" spans="1:15" ht="23" x14ac:dyDescent="0.35">
      <c r="A634" s="211" t="s">
        <v>1351</v>
      </c>
      <c r="B634" s="211" t="s">
        <v>1352</v>
      </c>
      <c r="C634" s="209">
        <v>816937</v>
      </c>
      <c r="D634" s="209">
        <v>0</v>
      </c>
      <c r="E634" s="209">
        <v>0</v>
      </c>
      <c r="F634" s="209">
        <v>816937</v>
      </c>
      <c r="G634" s="242">
        <v>-331317</v>
      </c>
      <c r="H634" s="239"/>
      <c r="I634" s="239"/>
      <c r="J634" s="210">
        <v>-54462</v>
      </c>
      <c r="K634" s="209">
        <v>0</v>
      </c>
      <c r="L634" s="209">
        <v>-385779</v>
      </c>
      <c r="M634" s="209">
        <v>485620</v>
      </c>
      <c r="N634" s="242">
        <v>431158</v>
      </c>
      <c r="O634" s="239"/>
    </row>
    <row r="635" spans="1:15" ht="34.5" x14ac:dyDescent="0.35">
      <c r="A635" s="211" t="s">
        <v>1353</v>
      </c>
      <c r="B635" s="211" t="s">
        <v>1354</v>
      </c>
      <c r="C635" s="209">
        <v>509608</v>
      </c>
      <c r="D635" s="209">
        <v>0</v>
      </c>
      <c r="E635" s="209">
        <v>0</v>
      </c>
      <c r="F635" s="209">
        <v>509608</v>
      </c>
      <c r="G635" s="242">
        <v>-206673</v>
      </c>
      <c r="H635" s="239"/>
      <c r="I635" s="239"/>
      <c r="J635" s="210">
        <v>-33974</v>
      </c>
      <c r="K635" s="209">
        <v>0</v>
      </c>
      <c r="L635" s="209">
        <v>-240647</v>
      </c>
      <c r="M635" s="209">
        <v>302935</v>
      </c>
      <c r="N635" s="242">
        <v>268961</v>
      </c>
      <c r="O635" s="239"/>
    </row>
    <row r="636" spans="1:15" x14ac:dyDescent="0.35">
      <c r="A636" s="211" t="s">
        <v>1355</v>
      </c>
      <c r="B636" s="211" t="s">
        <v>1356</v>
      </c>
      <c r="C636" s="209">
        <v>419015.67</v>
      </c>
      <c r="D636" s="209">
        <v>0</v>
      </c>
      <c r="E636" s="209">
        <v>0</v>
      </c>
      <c r="F636" s="209">
        <v>419015.67</v>
      </c>
      <c r="G636" s="242">
        <v>-169935</v>
      </c>
      <c r="H636" s="239"/>
      <c r="I636" s="239"/>
      <c r="J636" s="210">
        <v>-27934</v>
      </c>
      <c r="K636" s="209">
        <v>0</v>
      </c>
      <c r="L636" s="209">
        <v>-197869</v>
      </c>
      <c r="M636" s="209">
        <v>249080.67</v>
      </c>
      <c r="N636" s="242">
        <v>221146.67</v>
      </c>
      <c r="O636" s="239"/>
    </row>
    <row r="637" spans="1:15" ht="23" x14ac:dyDescent="0.35">
      <c r="A637" s="211" t="s">
        <v>1357</v>
      </c>
      <c r="B637" s="211" t="s">
        <v>1358</v>
      </c>
      <c r="C637" s="209">
        <v>136624.75</v>
      </c>
      <c r="D637" s="209">
        <v>0</v>
      </c>
      <c r="E637" s="209">
        <v>0</v>
      </c>
      <c r="F637" s="209">
        <v>136624.75</v>
      </c>
      <c r="G637" s="242">
        <v>-136624.75</v>
      </c>
      <c r="H637" s="239"/>
      <c r="I637" s="239"/>
      <c r="J637" s="210">
        <v>0</v>
      </c>
      <c r="K637" s="209">
        <v>0</v>
      </c>
      <c r="L637" s="209">
        <v>-136624.75</v>
      </c>
      <c r="M637" s="209">
        <v>0</v>
      </c>
      <c r="N637" s="242">
        <v>0</v>
      </c>
      <c r="O637" s="239"/>
    </row>
    <row r="638" spans="1:15" ht="23" x14ac:dyDescent="0.35">
      <c r="A638" s="211" t="s">
        <v>1359</v>
      </c>
      <c r="B638" s="211" t="s">
        <v>1360</v>
      </c>
      <c r="C638" s="209">
        <v>323904</v>
      </c>
      <c r="D638" s="209">
        <v>0</v>
      </c>
      <c r="E638" s="209">
        <v>0</v>
      </c>
      <c r="F638" s="209">
        <v>323904</v>
      </c>
      <c r="G638" s="242">
        <v>-194341</v>
      </c>
      <c r="H638" s="239"/>
      <c r="I638" s="239"/>
      <c r="J638" s="210">
        <v>-32391</v>
      </c>
      <c r="K638" s="209">
        <v>0</v>
      </c>
      <c r="L638" s="209">
        <v>-226732</v>
      </c>
      <c r="M638" s="209">
        <v>129563</v>
      </c>
      <c r="N638" s="242">
        <v>97172</v>
      </c>
      <c r="O638" s="239"/>
    </row>
    <row r="639" spans="1:15" ht="23" x14ac:dyDescent="0.35">
      <c r="A639" s="211" t="s">
        <v>1361</v>
      </c>
      <c r="B639" s="211" t="s">
        <v>1362</v>
      </c>
      <c r="C639" s="209">
        <v>1313334.25</v>
      </c>
      <c r="D639" s="209">
        <v>0</v>
      </c>
      <c r="E639" s="209">
        <v>0</v>
      </c>
      <c r="F639" s="209">
        <v>1313334.25</v>
      </c>
      <c r="G639" s="242">
        <v>-787998</v>
      </c>
      <c r="H639" s="239"/>
      <c r="I639" s="239"/>
      <c r="J639" s="210">
        <v>-131334</v>
      </c>
      <c r="K639" s="209">
        <v>0</v>
      </c>
      <c r="L639" s="209">
        <v>-919332</v>
      </c>
      <c r="M639" s="209">
        <v>525336.25</v>
      </c>
      <c r="N639" s="242">
        <v>394002.25</v>
      </c>
      <c r="O639" s="239"/>
    </row>
    <row r="640" spans="1:15" ht="34.5" x14ac:dyDescent="0.35">
      <c r="A640" s="211" t="s">
        <v>1363</v>
      </c>
      <c r="B640" s="211" t="s">
        <v>1364</v>
      </c>
      <c r="C640" s="209">
        <v>77414.429999999993</v>
      </c>
      <c r="D640" s="209">
        <v>0</v>
      </c>
      <c r="E640" s="209">
        <v>0</v>
      </c>
      <c r="F640" s="209">
        <v>77414.429999999993</v>
      </c>
      <c r="G640" s="242">
        <v>-77414.429999999993</v>
      </c>
      <c r="H640" s="239"/>
      <c r="I640" s="239"/>
      <c r="J640" s="210">
        <v>0</v>
      </c>
      <c r="K640" s="209">
        <v>0</v>
      </c>
      <c r="L640" s="209">
        <v>-77414.429999999993</v>
      </c>
      <c r="M640" s="209">
        <v>0</v>
      </c>
      <c r="N640" s="242">
        <v>0</v>
      </c>
      <c r="O640" s="239"/>
    </row>
    <row r="641" spans="1:15" ht="23" x14ac:dyDescent="0.35">
      <c r="A641" s="211" t="s">
        <v>1365</v>
      </c>
      <c r="B641" s="211" t="s">
        <v>1366</v>
      </c>
      <c r="C641" s="209">
        <v>277814.5</v>
      </c>
      <c r="D641" s="209">
        <v>0</v>
      </c>
      <c r="E641" s="209">
        <v>0</v>
      </c>
      <c r="F641" s="209">
        <v>277814.5</v>
      </c>
      <c r="G641" s="242">
        <v>-166688</v>
      </c>
      <c r="H641" s="239"/>
      <c r="I641" s="239"/>
      <c r="J641" s="210">
        <v>-27782</v>
      </c>
      <c r="K641" s="209">
        <v>0</v>
      </c>
      <c r="L641" s="209">
        <v>-194470</v>
      </c>
      <c r="M641" s="209">
        <v>111126.5</v>
      </c>
      <c r="N641" s="242">
        <v>83344.5</v>
      </c>
      <c r="O641" s="239"/>
    </row>
    <row r="642" spans="1:15" ht="46" x14ac:dyDescent="0.35">
      <c r="A642" s="211" t="s">
        <v>1367</v>
      </c>
      <c r="B642" s="211" t="s">
        <v>1368</v>
      </c>
      <c r="C642" s="209">
        <v>77531.179999999993</v>
      </c>
      <c r="D642" s="209">
        <v>0</v>
      </c>
      <c r="E642" s="209">
        <v>0</v>
      </c>
      <c r="F642" s="209">
        <v>77531.179999999993</v>
      </c>
      <c r="G642" s="242">
        <v>-46518</v>
      </c>
      <c r="H642" s="239"/>
      <c r="I642" s="239"/>
      <c r="J642" s="210">
        <v>-7753</v>
      </c>
      <c r="K642" s="209">
        <v>0</v>
      </c>
      <c r="L642" s="209">
        <v>-54271</v>
      </c>
      <c r="M642" s="209">
        <v>31013.18</v>
      </c>
      <c r="N642" s="242">
        <v>23260.18</v>
      </c>
      <c r="O642" s="239"/>
    </row>
    <row r="643" spans="1:15" x14ac:dyDescent="0.35">
      <c r="A643" s="211" t="s">
        <v>1369</v>
      </c>
      <c r="B643" s="211" t="s">
        <v>1370</v>
      </c>
      <c r="C643" s="209">
        <v>38383.25</v>
      </c>
      <c r="D643" s="209">
        <v>0</v>
      </c>
      <c r="E643" s="209">
        <v>0</v>
      </c>
      <c r="F643" s="209">
        <v>38383.25</v>
      </c>
      <c r="G643" s="242">
        <v>-23031</v>
      </c>
      <c r="H643" s="239"/>
      <c r="I643" s="239"/>
      <c r="J643" s="210">
        <v>-3838</v>
      </c>
      <c r="K643" s="209">
        <v>0</v>
      </c>
      <c r="L643" s="209">
        <v>-26869</v>
      </c>
      <c r="M643" s="209">
        <v>15352.25</v>
      </c>
      <c r="N643" s="242">
        <v>11514.25</v>
      </c>
      <c r="O643" s="239"/>
    </row>
    <row r="644" spans="1:15" ht="23" x14ac:dyDescent="0.35">
      <c r="A644" s="211" t="s">
        <v>1371</v>
      </c>
      <c r="B644" s="211" t="s">
        <v>1372</v>
      </c>
      <c r="C644" s="209">
        <v>150305.79999999999</v>
      </c>
      <c r="D644" s="209">
        <v>0</v>
      </c>
      <c r="E644" s="209">
        <v>0</v>
      </c>
      <c r="F644" s="209">
        <v>150305.79999999999</v>
      </c>
      <c r="G644" s="242">
        <v>-150305.79999999999</v>
      </c>
      <c r="H644" s="239"/>
      <c r="I644" s="239"/>
      <c r="J644" s="210">
        <v>0</v>
      </c>
      <c r="K644" s="209">
        <v>0</v>
      </c>
      <c r="L644" s="209">
        <v>-150305.79999999999</v>
      </c>
      <c r="M644" s="209">
        <v>0</v>
      </c>
      <c r="N644" s="242">
        <v>0</v>
      </c>
      <c r="O644" s="239"/>
    </row>
    <row r="645" spans="1:15" ht="34.5" x14ac:dyDescent="0.35">
      <c r="A645" s="211" t="s">
        <v>1373</v>
      </c>
      <c r="B645" s="211" t="s">
        <v>1374</v>
      </c>
      <c r="C645" s="209">
        <v>199000</v>
      </c>
      <c r="D645" s="209">
        <v>0</v>
      </c>
      <c r="E645" s="209">
        <v>0</v>
      </c>
      <c r="F645" s="209">
        <v>199000</v>
      </c>
      <c r="G645" s="242">
        <v>-199000</v>
      </c>
      <c r="H645" s="239"/>
      <c r="I645" s="239"/>
      <c r="J645" s="210">
        <v>0</v>
      </c>
      <c r="K645" s="209">
        <v>0</v>
      </c>
      <c r="L645" s="209">
        <v>-199000</v>
      </c>
      <c r="M645" s="209">
        <v>0</v>
      </c>
      <c r="N645" s="242">
        <v>0</v>
      </c>
      <c r="O645" s="239"/>
    </row>
    <row r="646" spans="1:15" ht="23" x14ac:dyDescent="0.35">
      <c r="A646" s="211" t="s">
        <v>1375</v>
      </c>
      <c r="B646" s="211" t="s">
        <v>1376</v>
      </c>
      <c r="C646" s="209">
        <v>103715.62</v>
      </c>
      <c r="D646" s="209">
        <v>0</v>
      </c>
      <c r="E646" s="209">
        <v>0</v>
      </c>
      <c r="F646" s="209">
        <v>103715.62</v>
      </c>
      <c r="G646" s="242">
        <v>-103715.62</v>
      </c>
      <c r="H646" s="239"/>
      <c r="I646" s="239"/>
      <c r="J646" s="210">
        <v>0</v>
      </c>
      <c r="K646" s="209">
        <v>0</v>
      </c>
      <c r="L646" s="209">
        <v>-103715.62</v>
      </c>
      <c r="M646" s="209">
        <v>0</v>
      </c>
      <c r="N646" s="242">
        <v>0</v>
      </c>
      <c r="O646" s="239"/>
    </row>
    <row r="647" spans="1:15" x14ac:dyDescent="0.35">
      <c r="A647" s="211" t="s">
        <v>1377</v>
      </c>
      <c r="B647" s="211" t="s">
        <v>1378</v>
      </c>
      <c r="C647" s="209">
        <v>468824</v>
      </c>
      <c r="D647" s="209">
        <v>0</v>
      </c>
      <c r="E647" s="209">
        <v>0</v>
      </c>
      <c r="F647" s="209">
        <v>468824</v>
      </c>
      <c r="G647" s="242">
        <v>-269574</v>
      </c>
      <c r="H647" s="239"/>
      <c r="I647" s="239"/>
      <c r="J647" s="210">
        <v>-46883</v>
      </c>
      <c r="K647" s="209">
        <v>0</v>
      </c>
      <c r="L647" s="209">
        <v>-316457</v>
      </c>
      <c r="M647" s="209">
        <v>199250</v>
      </c>
      <c r="N647" s="242">
        <v>152367</v>
      </c>
      <c r="O647" s="239"/>
    </row>
    <row r="648" spans="1:15" x14ac:dyDescent="0.35">
      <c r="A648" s="211" t="s">
        <v>1379</v>
      </c>
      <c r="B648" s="211" t="s">
        <v>1380</v>
      </c>
      <c r="C648" s="209">
        <v>35700</v>
      </c>
      <c r="D648" s="209">
        <v>0</v>
      </c>
      <c r="E648" s="209">
        <v>0</v>
      </c>
      <c r="F648" s="209">
        <v>35700</v>
      </c>
      <c r="G648" s="242">
        <v>-20528</v>
      </c>
      <c r="H648" s="239"/>
      <c r="I648" s="239"/>
      <c r="J648" s="210">
        <v>-3570</v>
      </c>
      <c r="K648" s="209">
        <v>0</v>
      </c>
      <c r="L648" s="209">
        <v>-24098</v>
      </c>
      <c r="M648" s="209">
        <v>15172</v>
      </c>
      <c r="N648" s="242">
        <v>11602</v>
      </c>
      <c r="O648" s="239"/>
    </row>
    <row r="649" spans="1:15" ht="23" x14ac:dyDescent="0.35">
      <c r="A649" s="211" t="s">
        <v>1381</v>
      </c>
      <c r="B649" s="211" t="s">
        <v>1382</v>
      </c>
      <c r="C649" s="209">
        <v>158400</v>
      </c>
      <c r="D649" s="209">
        <v>0</v>
      </c>
      <c r="E649" s="209">
        <v>0</v>
      </c>
      <c r="F649" s="209">
        <v>158400</v>
      </c>
      <c r="G649" s="242">
        <v>-91080</v>
      </c>
      <c r="H649" s="239"/>
      <c r="I649" s="239"/>
      <c r="J649" s="210">
        <v>-15840</v>
      </c>
      <c r="K649" s="209">
        <v>0</v>
      </c>
      <c r="L649" s="209">
        <v>-106920</v>
      </c>
      <c r="M649" s="209">
        <v>67320</v>
      </c>
      <c r="N649" s="242">
        <v>51480</v>
      </c>
      <c r="O649" s="239"/>
    </row>
    <row r="650" spans="1:15" x14ac:dyDescent="0.35">
      <c r="A650" s="211" t="s">
        <v>1383</v>
      </c>
      <c r="B650" s="211" t="s">
        <v>1384</v>
      </c>
      <c r="C650" s="209">
        <v>150000</v>
      </c>
      <c r="D650" s="209">
        <v>0</v>
      </c>
      <c r="E650" s="209">
        <v>0</v>
      </c>
      <c r="F650" s="209">
        <v>150000</v>
      </c>
      <c r="G650" s="242">
        <v>-57498</v>
      </c>
      <c r="H650" s="239"/>
      <c r="I650" s="239"/>
      <c r="J650" s="210">
        <v>-10000</v>
      </c>
      <c r="K650" s="209">
        <v>0</v>
      </c>
      <c r="L650" s="209">
        <v>-67498</v>
      </c>
      <c r="M650" s="209">
        <v>92502</v>
      </c>
      <c r="N650" s="242">
        <v>82502</v>
      </c>
      <c r="O650" s="239"/>
    </row>
    <row r="651" spans="1:15" ht="23" x14ac:dyDescent="0.35">
      <c r="A651" s="211" t="s">
        <v>1385</v>
      </c>
      <c r="B651" s="211" t="s">
        <v>1386</v>
      </c>
      <c r="C651" s="209">
        <v>598746.98</v>
      </c>
      <c r="D651" s="209">
        <v>0</v>
      </c>
      <c r="E651" s="209">
        <v>0</v>
      </c>
      <c r="F651" s="209">
        <v>598746.98</v>
      </c>
      <c r="G651" s="242">
        <v>-344281</v>
      </c>
      <c r="H651" s="239"/>
      <c r="I651" s="239"/>
      <c r="J651" s="210">
        <v>-59874</v>
      </c>
      <c r="K651" s="209">
        <v>0</v>
      </c>
      <c r="L651" s="209">
        <v>-404155</v>
      </c>
      <c r="M651" s="209">
        <v>254465.98</v>
      </c>
      <c r="N651" s="242">
        <v>194591.98</v>
      </c>
      <c r="O651" s="239"/>
    </row>
    <row r="652" spans="1:15" x14ac:dyDescent="0.35">
      <c r="A652" s="211" t="s">
        <v>1387</v>
      </c>
      <c r="B652" s="211" t="s">
        <v>1388</v>
      </c>
      <c r="C652" s="209">
        <v>427960</v>
      </c>
      <c r="D652" s="209">
        <v>0</v>
      </c>
      <c r="E652" s="209">
        <v>0</v>
      </c>
      <c r="F652" s="209">
        <v>427960</v>
      </c>
      <c r="G652" s="242">
        <v>-238943</v>
      </c>
      <c r="H652" s="239"/>
      <c r="I652" s="239"/>
      <c r="J652" s="210">
        <v>-42797</v>
      </c>
      <c r="K652" s="209">
        <v>0</v>
      </c>
      <c r="L652" s="209">
        <v>-281740</v>
      </c>
      <c r="M652" s="209">
        <v>189017</v>
      </c>
      <c r="N652" s="242">
        <v>146220</v>
      </c>
      <c r="O652" s="239"/>
    </row>
    <row r="653" spans="1:15" x14ac:dyDescent="0.35">
      <c r="A653" s="211" t="s">
        <v>1389</v>
      </c>
      <c r="B653" s="211" t="s">
        <v>1390</v>
      </c>
      <c r="C653" s="209">
        <v>479614.85</v>
      </c>
      <c r="D653" s="209">
        <v>0</v>
      </c>
      <c r="E653" s="209">
        <v>0</v>
      </c>
      <c r="F653" s="209">
        <v>479614.85</v>
      </c>
      <c r="G653" s="242">
        <v>-479614.85</v>
      </c>
      <c r="H653" s="239"/>
      <c r="I653" s="239"/>
      <c r="J653" s="210">
        <v>0</v>
      </c>
      <c r="K653" s="209">
        <v>0</v>
      </c>
      <c r="L653" s="209">
        <v>-479614.85</v>
      </c>
      <c r="M653" s="209">
        <v>0</v>
      </c>
      <c r="N653" s="242">
        <v>0</v>
      </c>
      <c r="O653" s="239"/>
    </row>
    <row r="654" spans="1:15" ht="23" x14ac:dyDescent="0.35">
      <c r="A654" s="211" t="s">
        <v>1391</v>
      </c>
      <c r="B654" s="211" t="s">
        <v>1392</v>
      </c>
      <c r="C654" s="209">
        <v>420000</v>
      </c>
      <c r="D654" s="209">
        <v>0</v>
      </c>
      <c r="E654" s="209">
        <v>0</v>
      </c>
      <c r="F654" s="209">
        <v>420000</v>
      </c>
      <c r="G654" s="242">
        <v>-153999</v>
      </c>
      <c r="H654" s="239"/>
      <c r="I654" s="239"/>
      <c r="J654" s="210">
        <v>-28000</v>
      </c>
      <c r="K654" s="209">
        <v>0</v>
      </c>
      <c r="L654" s="209">
        <v>-181999</v>
      </c>
      <c r="M654" s="209">
        <v>266001</v>
      </c>
      <c r="N654" s="242">
        <v>238001</v>
      </c>
      <c r="O654" s="239"/>
    </row>
    <row r="655" spans="1:15" x14ac:dyDescent="0.35">
      <c r="A655" s="211" t="s">
        <v>1393</v>
      </c>
      <c r="B655" s="211" t="s">
        <v>1394</v>
      </c>
      <c r="C655" s="209">
        <v>455449</v>
      </c>
      <c r="D655" s="209">
        <v>0</v>
      </c>
      <c r="E655" s="209">
        <v>0</v>
      </c>
      <c r="F655" s="209">
        <v>455449</v>
      </c>
      <c r="G655" s="242">
        <v>-455449</v>
      </c>
      <c r="H655" s="239"/>
      <c r="I655" s="239"/>
      <c r="J655" s="210">
        <v>0</v>
      </c>
      <c r="K655" s="209">
        <v>0</v>
      </c>
      <c r="L655" s="209">
        <v>-455449</v>
      </c>
      <c r="M655" s="209">
        <v>0</v>
      </c>
      <c r="N655" s="242">
        <v>0</v>
      </c>
      <c r="O655" s="239"/>
    </row>
    <row r="656" spans="1:15" ht="34.5" x14ac:dyDescent="0.35">
      <c r="A656" s="211" t="s">
        <v>1395</v>
      </c>
      <c r="B656" s="211" t="s">
        <v>1396</v>
      </c>
      <c r="C656" s="209">
        <v>185885</v>
      </c>
      <c r="D656" s="209">
        <v>0</v>
      </c>
      <c r="E656" s="209">
        <v>0</v>
      </c>
      <c r="F656" s="209">
        <v>185885</v>
      </c>
      <c r="G656" s="242">
        <v>-185885</v>
      </c>
      <c r="H656" s="239"/>
      <c r="I656" s="239"/>
      <c r="J656" s="210">
        <v>0</v>
      </c>
      <c r="K656" s="209">
        <v>0</v>
      </c>
      <c r="L656" s="209">
        <v>-185885</v>
      </c>
      <c r="M656" s="209">
        <v>0</v>
      </c>
      <c r="N656" s="242">
        <v>0</v>
      </c>
      <c r="O656" s="239"/>
    </row>
    <row r="657" spans="1:15" x14ac:dyDescent="0.35">
      <c r="A657" s="211" t="s">
        <v>1397</v>
      </c>
      <c r="B657" s="211" t="s">
        <v>1398</v>
      </c>
      <c r="C657" s="209">
        <v>675247.9</v>
      </c>
      <c r="D657" s="209">
        <v>0</v>
      </c>
      <c r="E657" s="209">
        <v>0</v>
      </c>
      <c r="F657" s="209">
        <v>675247.9</v>
      </c>
      <c r="G657" s="242">
        <v>-354505</v>
      </c>
      <c r="H657" s="239"/>
      <c r="I657" s="239"/>
      <c r="J657" s="210">
        <v>-67525</v>
      </c>
      <c r="K657" s="209">
        <v>0</v>
      </c>
      <c r="L657" s="209">
        <v>-422030</v>
      </c>
      <c r="M657" s="209">
        <v>320742.90000000002</v>
      </c>
      <c r="N657" s="242">
        <v>253217.9</v>
      </c>
      <c r="O657" s="239"/>
    </row>
    <row r="658" spans="1:15" ht="23" x14ac:dyDescent="0.35">
      <c r="A658" s="211" t="s">
        <v>1399</v>
      </c>
      <c r="B658" s="211" t="s">
        <v>1400</v>
      </c>
      <c r="C658" s="209">
        <v>85400</v>
      </c>
      <c r="D658" s="209">
        <v>0</v>
      </c>
      <c r="E658" s="209">
        <v>0</v>
      </c>
      <c r="F658" s="209">
        <v>85400</v>
      </c>
      <c r="G658" s="242">
        <v>-85400</v>
      </c>
      <c r="H658" s="239"/>
      <c r="I658" s="239"/>
      <c r="J658" s="210">
        <v>0</v>
      </c>
      <c r="K658" s="209">
        <v>0</v>
      </c>
      <c r="L658" s="209">
        <v>-85400</v>
      </c>
      <c r="M658" s="209">
        <v>0</v>
      </c>
      <c r="N658" s="242">
        <v>0</v>
      </c>
      <c r="O658" s="239"/>
    </row>
    <row r="659" spans="1:15" ht="23" x14ac:dyDescent="0.35">
      <c r="A659" s="211" t="s">
        <v>1401</v>
      </c>
      <c r="B659" s="211" t="s">
        <v>1402</v>
      </c>
      <c r="C659" s="209">
        <v>111218.45</v>
      </c>
      <c r="D659" s="209">
        <v>0</v>
      </c>
      <c r="E659" s="209">
        <v>0</v>
      </c>
      <c r="F659" s="209">
        <v>111218.45</v>
      </c>
      <c r="G659" s="242">
        <v>-111218.45</v>
      </c>
      <c r="H659" s="239"/>
      <c r="I659" s="239"/>
      <c r="J659" s="210">
        <v>0</v>
      </c>
      <c r="K659" s="209">
        <v>0</v>
      </c>
      <c r="L659" s="209">
        <v>-111218.45</v>
      </c>
      <c r="M659" s="209">
        <v>0</v>
      </c>
      <c r="N659" s="242">
        <v>0</v>
      </c>
      <c r="O659" s="239"/>
    </row>
    <row r="660" spans="1:15" ht="34.5" x14ac:dyDescent="0.35">
      <c r="A660" s="211" t="s">
        <v>1403</v>
      </c>
      <c r="B660" s="211" t="s">
        <v>1404</v>
      </c>
      <c r="C660" s="209">
        <v>309853.21000000002</v>
      </c>
      <c r="D660" s="209">
        <v>0</v>
      </c>
      <c r="E660" s="209">
        <v>0</v>
      </c>
      <c r="F660" s="209">
        <v>309853.21000000002</v>
      </c>
      <c r="G660" s="242">
        <v>-160091</v>
      </c>
      <c r="H660" s="239"/>
      <c r="I660" s="239"/>
      <c r="J660" s="210">
        <v>-30985</v>
      </c>
      <c r="K660" s="209">
        <v>0</v>
      </c>
      <c r="L660" s="209">
        <v>-191076</v>
      </c>
      <c r="M660" s="209">
        <v>149762.21</v>
      </c>
      <c r="N660" s="242">
        <v>118777.21</v>
      </c>
      <c r="O660" s="239"/>
    </row>
    <row r="661" spans="1:15" x14ac:dyDescent="0.35">
      <c r="A661" s="211" t="s">
        <v>1405</v>
      </c>
      <c r="B661" s="211" t="s">
        <v>1406</v>
      </c>
      <c r="C661" s="209">
        <v>253355.85</v>
      </c>
      <c r="D661" s="209">
        <v>0</v>
      </c>
      <c r="E661" s="209">
        <v>0</v>
      </c>
      <c r="F661" s="209">
        <v>253355.85</v>
      </c>
      <c r="G661" s="242">
        <v>-130900</v>
      </c>
      <c r="H661" s="239"/>
      <c r="I661" s="239"/>
      <c r="J661" s="210">
        <v>-25336</v>
      </c>
      <c r="K661" s="209">
        <v>0</v>
      </c>
      <c r="L661" s="209">
        <v>-156236</v>
      </c>
      <c r="M661" s="209">
        <v>122455.85</v>
      </c>
      <c r="N661" s="242">
        <v>97119.85</v>
      </c>
      <c r="O661" s="239"/>
    </row>
    <row r="662" spans="1:15" ht="23" x14ac:dyDescent="0.35">
      <c r="A662" s="211" t="s">
        <v>1407</v>
      </c>
      <c r="B662" s="211" t="s">
        <v>1408</v>
      </c>
      <c r="C662" s="209">
        <v>0</v>
      </c>
      <c r="D662" s="209">
        <v>0</v>
      </c>
      <c r="E662" s="209">
        <v>0</v>
      </c>
      <c r="F662" s="209">
        <v>0</v>
      </c>
      <c r="G662" s="242">
        <v>0</v>
      </c>
      <c r="H662" s="239"/>
      <c r="I662" s="239"/>
      <c r="J662" s="210">
        <v>0</v>
      </c>
      <c r="K662" s="209">
        <v>0</v>
      </c>
      <c r="L662" s="209">
        <v>0</v>
      </c>
      <c r="M662" s="209">
        <v>0</v>
      </c>
      <c r="N662" s="242">
        <v>0</v>
      </c>
      <c r="O662" s="239"/>
    </row>
    <row r="663" spans="1:15" ht="23" x14ac:dyDescent="0.35">
      <c r="A663" s="211" t="s">
        <v>1409</v>
      </c>
      <c r="B663" s="211" t="s">
        <v>1410</v>
      </c>
      <c r="C663" s="209">
        <v>0</v>
      </c>
      <c r="D663" s="209">
        <v>0</v>
      </c>
      <c r="E663" s="209">
        <v>0</v>
      </c>
      <c r="F663" s="209">
        <v>0</v>
      </c>
      <c r="G663" s="242">
        <v>0</v>
      </c>
      <c r="H663" s="239"/>
      <c r="I663" s="239"/>
      <c r="J663" s="210">
        <v>0</v>
      </c>
      <c r="K663" s="209">
        <v>0</v>
      </c>
      <c r="L663" s="209">
        <v>0</v>
      </c>
      <c r="M663" s="209">
        <v>0</v>
      </c>
      <c r="N663" s="242">
        <v>0</v>
      </c>
      <c r="O663" s="239"/>
    </row>
    <row r="664" spans="1:15" x14ac:dyDescent="0.35">
      <c r="A664" s="211" t="s">
        <v>1411</v>
      </c>
      <c r="B664" s="211" t="s">
        <v>1412</v>
      </c>
      <c r="C664" s="209">
        <v>0</v>
      </c>
      <c r="D664" s="209">
        <v>0</v>
      </c>
      <c r="E664" s="209">
        <v>0</v>
      </c>
      <c r="F664" s="209">
        <v>0</v>
      </c>
      <c r="G664" s="242">
        <v>0</v>
      </c>
      <c r="H664" s="239"/>
      <c r="I664" s="239"/>
      <c r="J664" s="210">
        <v>0</v>
      </c>
      <c r="K664" s="209">
        <v>0</v>
      </c>
      <c r="L664" s="209">
        <v>0</v>
      </c>
      <c r="M664" s="209">
        <v>0</v>
      </c>
      <c r="N664" s="242">
        <v>0</v>
      </c>
      <c r="O664" s="239"/>
    </row>
    <row r="665" spans="1:15" x14ac:dyDescent="0.35">
      <c r="A665" s="211" t="s">
        <v>1413</v>
      </c>
      <c r="B665" s="211" t="s">
        <v>1414</v>
      </c>
      <c r="C665" s="209">
        <v>0</v>
      </c>
      <c r="D665" s="209">
        <v>0</v>
      </c>
      <c r="E665" s="209">
        <v>0</v>
      </c>
      <c r="F665" s="209">
        <v>0</v>
      </c>
      <c r="G665" s="242">
        <v>0</v>
      </c>
      <c r="H665" s="239"/>
      <c r="I665" s="239"/>
      <c r="J665" s="210">
        <v>0</v>
      </c>
      <c r="K665" s="209">
        <v>0</v>
      </c>
      <c r="L665" s="209">
        <v>0</v>
      </c>
      <c r="M665" s="209">
        <v>0</v>
      </c>
      <c r="N665" s="242">
        <v>0</v>
      </c>
      <c r="O665" s="239"/>
    </row>
    <row r="666" spans="1:15" x14ac:dyDescent="0.35">
      <c r="A666" s="211" t="s">
        <v>1415</v>
      </c>
      <c r="B666" s="211" t="s">
        <v>1416</v>
      </c>
      <c r="C666" s="209">
        <v>0</v>
      </c>
      <c r="D666" s="209">
        <v>0</v>
      </c>
      <c r="E666" s="209">
        <v>0</v>
      </c>
      <c r="F666" s="209">
        <v>0</v>
      </c>
      <c r="G666" s="242">
        <v>0</v>
      </c>
      <c r="H666" s="239"/>
      <c r="I666" s="239"/>
      <c r="J666" s="210">
        <v>0</v>
      </c>
      <c r="K666" s="209">
        <v>0</v>
      </c>
      <c r="L666" s="209">
        <v>0</v>
      </c>
      <c r="M666" s="209">
        <v>0</v>
      </c>
      <c r="N666" s="242">
        <v>0</v>
      </c>
      <c r="O666" s="239"/>
    </row>
    <row r="667" spans="1:15" ht="23" x14ac:dyDescent="0.35">
      <c r="A667" s="211" t="s">
        <v>1417</v>
      </c>
      <c r="B667" s="211" t="s">
        <v>1418</v>
      </c>
      <c r="C667" s="209">
        <v>0</v>
      </c>
      <c r="D667" s="209">
        <v>0</v>
      </c>
      <c r="E667" s="209">
        <v>0</v>
      </c>
      <c r="F667" s="209">
        <v>0</v>
      </c>
      <c r="G667" s="242">
        <v>0</v>
      </c>
      <c r="H667" s="239"/>
      <c r="I667" s="239"/>
      <c r="J667" s="210">
        <v>0</v>
      </c>
      <c r="K667" s="209">
        <v>0</v>
      </c>
      <c r="L667" s="209">
        <v>0</v>
      </c>
      <c r="M667" s="209">
        <v>0</v>
      </c>
      <c r="N667" s="242">
        <v>0</v>
      </c>
      <c r="O667" s="239"/>
    </row>
    <row r="668" spans="1:15" ht="23" x14ac:dyDescent="0.35">
      <c r="A668" s="211" t="s">
        <v>1419</v>
      </c>
      <c r="B668" s="211" t="s">
        <v>1420</v>
      </c>
      <c r="C668" s="209">
        <v>0</v>
      </c>
      <c r="D668" s="209">
        <v>0</v>
      </c>
      <c r="E668" s="209">
        <v>0</v>
      </c>
      <c r="F668" s="209">
        <v>0</v>
      </c>
      <c r="G668" s="242">
        <v>0</v>
      </c>
      <c r="H668" s="239"/>
      <c r="I668" s="239"/>
      <c r="J668" s="210">
        <v>0</v>
      </c>
      <c r="K668" s="209">
        <v>0</v>
      </c>
      <c r="L668" s="209">
        <v>0</v>
      </c>
      <c r="M668" s="209">
        <v>0</v>
      </c>
      <c r="N668" s="242">
        <v>0</v>
      </c>
      <c r="O668" s="239"/>
    </row>
    <row r="669" spans="1:15" ht="23" x14ac:dyDescent="0.35">
      <c r="A669" s="211" t="s">
        <v>1421</v>
      </c>
      <c r="B669" s="211" t="s">
        <v>1422</v>
      </c>
      <c r="C669" s="209">
        <v>0</v>
      </c>
      <c r="D669" s="209">
        <v>0</v>
      </c>
      <c r="E669" s="209">
        <v>0</v>
      </c>
      <c r="F669" s="209">
        <v>0</v>
      </c>
      <c r="G669" s="242">
        <v>0</v>
      </c>
      <c r="H669" s="239"/>
      <c r="I669" s="239"/>
      <c r="J669" s="210">
        <v>0</v>
      </c>
      <c r="K669" s="209">
        <v>0</v>
      </c>
      <c r="L669" s="209">
        <v>0</v>
      </c>
      <c r="M669" s="209">
        <v>0</v>
      </c>
      <c r="N669" s="242">
        <v>0</v>
      </c>
      <c r="O669" s="239"/>
    </row>
    <row r="670" spans="1:15" ht="23" x14ac:dyDescent="0.35">
      <c r="A670" s="211" t="s">
        <v>1423</v>
      </c>
      <c r="B670" s="211" t="s">
        <v>1424</v>
      </c>
      <c r="C670" s="209">
        <v>0</v>
      </c>
      <c r="D670" s="209">
        <v>0</v>
      </c>
      <c r="E670" s="209">
        <v>0</v>
      </c>
      <c r="F670" s="209">
        <v>0</v>
      </c>
      <c r="G670" s="242">
        <v>0</v>
      </c>
      <c r="H670" s="239"/>
      <c r="I670" s="239"/>
      <c r="J670" s="210">
        <v>0</v>
      </c>
      <c r="K670" s="209">
        <v>0</v>
      </c>
      <c r="L670" s="209">
        <v>0</v>
      </c>
      <c r="M670" s="209">
        <v>0</v>
      </c>
      <c r="N670" s="242">
        <v>0</v>
      </c>
      <c r="O670" s="239"/>
    </row>
    <row r="671" spans="1:15" ht="23" x14ac:dyDescent="0.35">
      <c r="A671" s="211" t="s">
        <v>1425</v>
      </c>
      <c r="B671" s="211" t="s">
        <v>1426</v>
      </c>
      <c r="C671" s="209">
        <v>0</v>
      </c>
      <c r="D671" s="209">
        <v>0</v>
      </c>
      <c r="E671" s="209">
        <v>0</v>
      </c>
      <c r="F671" s="209">
        <v>0</v>
      </c>
      <c r="G671" s="242">
        <v>0</v>
      </c>
      <c r="H671" s="239"/>
      <c r="I671" s="239"/>
      <c r="J671" s="210">
        <v>0</v>
      </c>
      <c r="K671" s="209">
        <v>0</v>
      </c>
      <c r="L671" s="209">
        <v>0</v>
      </c>
      <c r="M671" s="209">
        <v>0</v>
      </c>
      <c r="N671" s="242">
        <v>0</v>
      </c>
      <c r="O671" s="239"/>
    </row>
    <row r="672" spans="1:15" ht="23" x14ac:dyDescent="0.35">
      <c r="A672" s="211" t="s">
        <v>1427</v>
      </c>
      <c r="B672" s="211" t="s">
        <v>1428</v>
      </c>
      <c r="C672" s="209">
        <v>0</v>
      </c>
      <c r="D672" s="209">
        <v>0</v>
      </c>
      <c r="E672" s="209">
        <v>0</v>
      </c>
      <c r="F672" s="209">
        <v>0</v>
      </c>
      <c r="G672" s="242">
        <v>0</v>
      </c>
      <c r="H672" s="239"/>
      <c r="I672" s="239"/>
      <c r="J672" s="210">
        <v>0</v>
      </c>
      <c r="K672" s="209">
        <v>0</v>
      </c>
      <c r="L672" s="209">
        <v>0</v>
      </c>
      <c r="M672" s="209">
        <v>0</v>
      </c>
      <c r="N672" s="242">
        <v>0</v>
      </c>
      <c r="O672" s="239"/>
    </row>
    <row r="673" spans="1:15" x14ac:dyDescent="0.35">
      <c r="A673" s="211" t="s">
        <v>1429</v>
      </c>
      <c r="B673" s="211" t="s">
        <v>1430</v>
      </c>
      <c r="C673" s="209">
        <v>0</v>
      </c>
      <c r="D673" s="209">
        <v>0</v>
      </c>
      <c r="E673" s="209">
        <v>0</v>
      </c>
      <c r="F673" s="209">
        <v>0</v>
      </c>
      <c r="G673" s="242">
        <v>0</v>
      </c>
      <c r="H673" s="239"/>
      <c r="I673" s="239"/>
      <c r="J673" s="210">
        <v>0</v>
      </c>
      <c r="K673" s="209">
        <v>0</v>
      </c>
      <c r="L673" s="209">
        <v>0</v>
      </c>
      <c r="M673" s="209">
        <v>0</v>
      </c>
      <c r="N673" s="242">
        <v>0</v>
      </c>
      <c r="O673" s="239"/>
    </row>
    <row r="674" spans="1:15" ht="23" x14ac:dyDescent="0.35">
      <c r="A674" s="211" t="s">
        <v>1431</v>
      </c>
      <c r="B674" s="211" t="s">
        <v>1432</v>
      </c>
      <c r="C674" s="209">
        <v>0</v>
      </c>
      <c r="D674" s="209">
        <v>0</v>
      </c>
      <c r="E674" s="209">
        <v>0</v>
      </c>
      <c r="F674" s="209">
        <v>0</v>
      </c>
      <c r="G674" s="242">
        <v>0</v>
      </c>
      <c r="H674" s="239"/>
      <c r="I674" s="239"/>
      <c r="J674" s="210">
        <v>0</v>
      </c>
      <c r="K674" s="209">
        <v>0</v>
      </c>
      <c r="L674" s="209">
        <v>0</v>
      </c>
      <c r="M674" s="209">
        <v>0</v>
      </c>
      <c r="N674" s="242">
        <v>0</v>
      </c>
      <c r="O674" s="239"/>
    </row>
    <row r="675" spans="1:15" ht="23" x14ac:dyDescent="0.35">
      <c r="A675" s="211" t="s">
        <v>1433</v>
      </c>
      <c r="B675" s="211" t="s">
        <v>1434</v>
      </c>
      <c r="C675" s="209">
        <v>0</v>
      </c>
      <c r="D675" s="209">
        <v>0</v>
      </c>
      <c r="E675" s="209">
        <v>0</v>
      </c>
      <c r="F675" s="209">
        <v>0</v>
      </c>
      <c r="G675" s="242">
        <v>0</v>
      </c>
      <c r="H675" s="239"/>
      <c r="I675" s="239"/>
      <c r="J675" s="210">
        <v>0</v>
      </c>
      <c r="K675" s="209">
        <v>0</v>
      </c>
      <c r="L675" s="209">
        <v>0</v>
      </c>
      <c r="M675" s="209">
        <v>0</v>
      </c>
      <c r="N675" s="242">
        <v>0</v>
      </c>
      <c r="O675" s="239"/>
    </row>
    <row r="676" spans="1:15" x14ac:dyDescent="0.35">
      <c r="A676" s="211" t="s">
        <v>1435</v>
      </c>
      <c r="B676" s="211" t="s">
        <v>1436</v>
      </c>
      <c r="C676" s="209">
        <v>0</v>
      </c>
      <c r="D676" s="209">
        <v>0</v>
      </c>
      <c r="E676" s="209">
        <v>0</v>
      </c>
      <c r="F676" s="209">
        <v>0</v>
      </c>
      <c r="G676" s="242">
        <v>0</v>
      </c>
      <c r="H676" s="239"/>
      <c r="I676" s="239"/>
      <c r="J676" s="210">
        <v>0</v>
      </c>
      <c r="K676" s="209">
        <v>0</v>
      </c>
      <c r="L676" s="209">
        <v>0</v>
      </c>
      <c r="M676" s="209">
        <v>0</v>
      </c>
      <c r="N676" s="242">
        <v>0</v>
      </c>
      <c r="O676" s="239"/>
    </row>
    <row r="677" spans="1:15" ht="23" x14ac:dyDescent="0.35">
      <c r="A677" s="211" t="s">
        <v>1437</v>
      </c>
      <c r="B677" s="211" t="s">
        <v>1438</v>
      </c>
      <c r="C677" s="209">
        <v>0</v>
      </c>
      <c r="D677" s="209">
        <v>0</v>
      </c>
      <c r="E677" s="209">
        <v>0</v>
      </c>
      <c r="F677" s="209">
        <v>0</v>
      </c>
      <c r="G677" s="242">
        <v>0</v>
      </c>
      <c r="H677" s="239"/>
      <c r="I677" s="239"/>
      <c r="J677" s="210">
        <v>0</v>
      </c>
      <c r="K677" s="209">
        <v>0</v>
      </c>
      <c r="L677" s="209">
        <v>0</v>
      </c>
      <c r="M677" s="209">
        <v>0</v>
      </c>
      <c r="N677" s="242">
        <v>0</v>
      </c>
      <c r="O677" s="239"/>
    </row>
    <row r="678" spans="1:15" x14ac:dyDescent="0.35">
      <c r="A678" s="211" t="s">
        <v>1439</v>
      </c>
      <c r="B678" s="211" t="s">
        <v>1440</v>
      </c>
      <c r="C678" s="209">
        <v>0</v>
      </c>
      <c r="D678" s="209">
        <v>0</v>
      </c>
      <c r="E678" s="209">
        <v>0</v>
      </c>
      <c r="F678" s="209">
        <v>0</v>
      </c>
      <c r="G678" s="242">
        <v>0</v>
      </c>
      <c r="H678" s="239"/>
      <c r="I678" s="239"/>
      <c r="J678" s="210">
        <v>0</v>
      </c>
      <c r="K678" s="209">
        <v>0</v>
      </c>
      <c r="L678" s="209">
        <v>0</v>
      </c>
      <c r="M678" s="209">
        <v>0</v>
      </c>
      <c r="N678" s="242">
        <v>0</v>
      </c>
      <c r="O678" s="239"/>
    </row>
    <row r="679" spans="1:15" ht="23" x14ac:dyDescent="0.35">
      <c r="A679" s="211" t="s">
        <v>1441</v>
      </c>
      <c r="B679" s="211" t="s">
        <v>1442</v>
      </c>
      <c r="C679" s="209">
        <v>0</v>
      </c>
      <c r="D679" s="209">
        <v>0</v>
      </c>
      <c r="E679" s="209">
        <v>0</v>
      </c>
      <c r="F679" s="209">
        <v>0</v>
      </c>
      <c r="G679" s="242">
        <v>0</v>
      </c>
      <c r="H679" s="239"/>
      <c r="I679" s="239"/>
      <c r="J679" s="210">
        <v>0</v>
      </c>
      <c r="K679" s="209">
        <v>0</v>
      </c>
      <c r="L679" s="209">
        <v>0</v>
      </c>
      <c r="M679" s="209">
        <v>0</v>
      </c>
      <c r="N679" s="242">
        <v>0</v>
      </c>
      <c r="O679" s="239"/>
    </row>
    <row r="680" spans="1:15" ht="23" x14ac:dyDescent="0.35">
      <c r="A680" s="211" t="s">
        <v>1443</v>
      </c>
      <c r="B680" s="211" t="s">
        <v>1444</v>
      </c>
      <c r="C680" s="209">
        <v>0</v>
      </c>
      <c r="D680" s="209">
        <v>0</v>
      </c>
      <c r="E680" s="209">
        <v>0</v>
      </c>
      <c r="F680" s="209">
        <v>0</v>
      </c>
      <c r="G680" s="242">
        <v>0</v>
      </c>
      <c r="H680" s="239"/>
      <c r="I680" s="239"/>
      <c r="J680" s="210">
        <v>0</v>
      </c>
      <c r="K680" s="209">
        <v>0</v>
      </c>
      <c r="L680" s="209">
        <v>0</v>
      </c>
      <c r="M680" s="209">
        <v>0</v>
      </c>
      <c r="N680" s="242">
        <v>0</v>
      </c>
      <c r="O680" s="239"/>
    </row>
    <row r="681" spans="1:15" ht="23" x14ac:dyDescent="0.35">
      <c r="A681" s="211" t="s">
        <v>1445</v>
      </c>
      <c r="B681" s="211" t="s">
        <v>1446</v>
      </c>
      <c r="C681" s="209">
        <v>0</v>
      </c>
      <c r="D681" s="209">
        <v>0</v>
      </c>
      <c r="E681" s="209">
        <v>0</v>
      </c>
      <c r="F681" s="209">
        <v>0</v>
      </c>
      <c r="G681" s="242">
        <v>0</v>
      </c>
      <c r="H681" s="239"/>
      <c r="I681" s="239"/>
      <c r="J681" s="210">
        <v>0</v>
      </c>
      <c r="K681" s="209">
        <v>0</v>
      </c>
      <c r="L681" s="209">
        <v>0</v>
      </c>
      <c r="M681" s="209">
        <v>0</v>
      </c>
      <c r="N681" s="242">
        <v>0</v>
      </c>
      <c r="O681" s="239"/>
    </row>
    <row r="682" spans="1:15" ht="23" x14ac:dyDescent="0.35">
      <c r="A682" s="211" t="s">
        <v>1447</v>
      </c>
      <c r="B682" s="211" t="s">
        <v>1448</v>
      </c>
      <c r="C682" s="209">
        <v>0</v>
      </c>
      <c r="D682" s="209">
        <v>0</v>
      </c>
      <c r="E682" s="209">
        <v>0</v>
      </c>
      <c r="F682" s="209">
        <v>0</v>
      </c>
      <c r="G682" s="242">
        <v>0</v>
      </c>
      <c r="H682" s="239"/>
      <c r="I682" s="239"/>
      <c r="J682" s="210">
        <v>0</v>
      </c>
      <c r="K682" s="209">
        <v>0</v>
      </c>
      <c r="L682" s="209">
        <v>0</v>
      </c>
      <c r="M682" s="209">
        <v>0</v>
      </c>
      <c r="N682" s="242">
        <v>0</v>
      </c>
      <c r="O682" s="239"/>
    </row>
    <row r="683" spans="1:15" ht="23" x14ac:dyDescent="0.35">
      <c r="A683" s="211" t="s">
        <v>1449</v>
      </c>
      <c r="B683" s="211" t="s">
        <v>1450</v>
      </c>
      <c r="C683" s="209">
        <v>0</v>
      </c>
      <c r="D683" s="209">
        <v>0</v>
      </c>
      <c r="E683" s="209">
        <v>0</v>
      </c>
      <c r="F683" s="209">
        <v>0</v>
      </c>
      <c r="G683" s="242">
        <v>0</v>
      </c>
      <c r="H683" s="239"/>
      <c r="I683" s="239"/>
      <c r="J683" s="210">
        <v>0</v>
      </c>
      <c r="K683" s="209">
        <v>0</v>
      </c>
      <c r="L683" s="209">
        <v>0</v>
      </c>
      <c r="M683" s="209">
        <v>0</v>
      </c>
      <c r="N683" s="242">
        <v>0</v>
      </c>
      <c r="O683" s="239"/>
    </row>
    <row r="684" spans="1:15" ht="34.5" x14ac:dyDescent="0.35">
      <c r="A684" s="211" t="s">
        <v>1451</v>
      </c>
      <c r="B684" s="211" t="s">
        <v>1452</v>
      </c>
      <c r="C684" s="209">
        <v>0</v>
      </c>
      <c r="D684" s="209">
        <v>0</v>
      </c>
      <c r="E684" s="209">
        <v>0</v>
      </c>
      <c r="F684" s="209">
        <v>0</v>
      </c>
      <c r="G684" s="242">
        <v>0</v>
      </c>
      <c r="H684" s="239"/>
      <c r="I684" s="239"/>
      <c r="J684" s="210">
        <v>0</v>
      </c>
      <c r="K684" s="209">
        <v>0</v>
      </c>
      <c r="L684" s="209">
        <v>0</v>
      </c>
      <c r="M684" s="209">
        <v>0</v>
      </c>
      <c r="N684" s="242">
        <v>0</v>
      </c>
      <c r="O684" s="239"/>
    </row>
    <row r="685" spans="1:15" ht="23" x14ac:dyDescent="0.35">
      <c r="A685" s="211" t="s">
        <v>1453</v>
      </c>
      <c r="B685" s="211" t="s">
        <v>1454</v>
      </c>
      <c r="C685" s="209">
        <v>0</v>
      </c>
      <c r="D685" s="209">
        <v>0</v>
      </c>
      <c r="E685" s="209">
        <v>0</v>
      </c>
      <c r="F685" s="209">
        <v>0</v>
      </c>
      <c r="G685" s="242">
        <v>0</v>
      </c>
      <c r="H685" s="239"/>
      <c r="I685" s="239"/>
      <c r="J685" s="210">
        <v>0</v>
      </c>
      <c r="K685" s="209">
        <v>0</v>
      </c>
      <c r="L685" s="209">
        <v>0</v>
      </c>
      <c r="M685" s="209">
        <v>0</v>
      </c>
      <c r="N685" s="242">
        <v>0</v>
      </c>
      <c r="O685" s="239"/>
    </row>
    <row r="686" spans="1:15" ht="23" x14ac:dyDescent="0.35">
      <c r="A686" s="211" t="s">
        <v>1455</v>
      </c>
      <c r="B686" s="211" t="s">
        <v>1456</v>
      </c>
      <c r="C686" s="209">
        <v>0</v>
      </c>
      <c r="D686" s="209">
        <v>0</v>
      </c>
      <c r="E686" s="209">
        <v>0</v>
      </c>
      <c r="F686" s="209">
        <v>0</v>
      </c>
      <c r="G686" s="242">
        <v>0</v>
      </c>
      <c r="H686" s="239"/>
      <c r="I686" s="239"/>
      <c r="J686" s="210">
        <v>0</v>
      </c>
      <c r="K686" s="209">
        <v>0</v>
      </c>
      <c r="L686" s="209">
        <v>0</v>
      </c>
      <c r="M686" s="209">
        <v>0</v>
      </c>
      <c r="N686" s="242">
        <v>0</v>
      </c>
      <c r="O686" s="239"/>
    </row>
    <row r="687" spans="1:15" ht="23" x14ac:dyDescent="0.35">
      <c r="A687" s="211" t="s">
        <v>1457</v>
      </c>
      <c r="B687" s="211" t="s">
        <v>1458</v>
      </c>
      <c r="C687" s="209">
        <v>0</v>
      </c>
      <c r="D687" s="209">
        <v>0</v>
      </c>
      <c r="E687" s="209">
        <v>0</v>
      </c>
      <c r="F687" s="209">
        <v>0</v>
      </c>
      <c r="G687" s="242">
        <v>0</v>
      </c>
      <c r="H687" s="239"/>
      <c r="I687" s="239"/>
      <c r="J687" s="210">
        <v>0</v>
      </c>
      <c r="K687" s="209">
        <v>0</v>
      </c>
      <c r="L687" s="209">
        <v>0</v>
      </c>
      <c r="M687" s="209">
        <v>0</v>
      </c>
      <c r="N687" s="242">
        <v>0</v>
      </c>
      <c r="O687" s="239"/>
    </row>
    <row r="688" spans="1:15" ht="23" x14ac:dyDescent="0.35">
      <c r="A688" s="211" t="s">
        <v>1459</v>
      </c>
      <c r="B688" s="211" t="s">
        <v>1460</v>
      </c>
      <c r="C688" s="209">
        <v>0</v>
      </c>
      <c r="D688" s="209">
        <v>0</v>
      </c>
      <c r="E688" s="209">
        <v>0</v>
      </c>
      <c r="F688" s="209">
        <v>0</v>
      </c>
      <c r="G688" s="242">
        <v>0</v>
      </c>
      <c r="H688" s="239"/>
      <c r="I688" s="239"/>
      <c r="J688" s="210">
        <v>0</v>
      </c>
      <c r="K688" s="209">
        <v>0</v>
      </c>
      <c r="L688" s="209">
        <v>0</v>
      </c>
      <c r="M688" s="209">
        <v>0</v>
      </c>
      <c r="N688" s="242">
        <v>0</v>
      </c>
      <c r="O688" s="239"/>
    </row>
    <row r="689" spans="1:15" ht="23" x14ac:dyDescent="0.35">
      <c r="A689" s="211" t="s">
        <v>1461</v>
      </c>
      <c r="B689" s="211" t="s">
        <v>1460</v>
      </c>
      <c r="C689" s="209">
        <v>0</v>
      </c>
      <c r="D689" s="209">
        <v>0</v>
      </c>
      <c r="E689" s="209">
        <v>0</v>
      </c>
      <c r="F689" s="209">
        <v>0</v>
      </c>
      <c r="G689" s="242">
        <v>0</v>
      </c>
      <c r="H689" s="239"/>
      <c r="I689" s="239"/>
      <c r="J689" s="210">
        <v>0</v>
      </c>
      <c r="K689" s="209">
        <v>0</v>
      </c>
      <c r="L689" s="209">
        <v>0</v>
      </c>
      <c r="M689" s="209">
        <v>0</v>
      </c>
      <c r="N689" s="242">
        <v>0</v>
      </c>
      <c r="O689" s="239"/>
    </row>
    <row r="690" spans="1:15" ht="23" x14ac:dyDescent="0.35">
      <c r="A690" s="211" t="s">
        <v>1462</v>
      </c>
      <c r="B690" s="211" t="s">
        <v>1463</v>
      </c>
      <c r="C690" s="209">
        <v>0</v>
      </c>
      <c r="D690" s="209">
        <v>0</v>
      </c>
      <c r="E690" s="209">
        <v>0</v>
      </c>
      <c r="F690" s="209">
        <v>0</v>
      </c>
      <c r="G690" s="242">
        <v>0</v>
      </c>
      <c r="H690" s="239"/>
      <c r="I690" s="239"/>
      <c r="J690" s="210">
        <v>0</v>
      </c>
      <c r="K690" s="209">
        <v>0</v>
      </c>
      <c r="L690" s="209">
        <v>0</v>
      </c>
      <c r="M690" s="209">
        <v>0</v>
      </c>
      <c r="N690" s="242">
        <v>0</v>
      </c>
      <c r="O690" s="239"/>
    </row>
    <row r="691" spans="1:15" ht="23" x14ac:dyDescent="0.35">
      <c r="A691" s="211" t="s">
        <v>1464</v>
      </c>
      <c r="B691" s="211" t="s">
        <v>1465</v>
      </c>
      <c r="C691" s="209">
        <v>0</v>
      </c>
      <c r="D691" s="209">
        <v>0</v>
      </c>
      <c r="E691" s="209">
        <v>0</v>
      </c>
      <c r="F691" s="209">
        <v>0</v>
      </c>
      <c r="G691" s="242">
        <v>0</v>
      </c>
      <c r="H691" s="239"/>
      <c r="I691" s="239"/>
      <c r="J691" s="210">
        <v>0</v>
      </c>
      <c r="K691" s="209">
        <v>0</v>
      </c>
      <c r="L691" s="209">
        <v>0</v>
      </c>
      <c r="M691" s="209">
        <v>0</v>
      </c>
      <c r="N691" s="242">
        <v>0</v>
      </c>
      <c r="O691" s="239"/>
    </row>
    <row r="692" spans="1:15" ht="23" x14ac:dyDescent="0.35">
      <c r="A692" s="211" t="s">
        <v>1466</v>
      </c>
      <c r="B692" s="211" t="s">
        <v>1467</v>
      </c>
      <c r="C692" s="209">
        <v>0</v>
      </c>
      <c r="D692" s="209">
        <v>0</v>
      </c>
      <c r="E692" s="209">
        <v>0</v>
      </c>
      <c r="F692" s="209">
        <v>0</v>
      </c>
      <c r="G692" s="242">
        <v>0</v>
      </c>
      <c r="H692" s="239"/>
      <c r="I692" s="239"/>
      <c r="J692" s="210">
        <v>0</v>
      </c>
      <c r="K692" s="209">
        <v>0</v>
      </c>
      <c r="L692" s="209">
        <v>0</v>
      </c>
      <c r="M692" s="209">
        <v>0</v>
      </c>
      <c r="N692" s="242">
        <v>0</v>
      </c>
      <c r="O692" s="239"/>
    </row>
    <row r="693" spans="1:15" ht="23" x14ac:dyDescent="0.35">
      <c r="A693" s="211" t="s">
        <v>1468</v>
      </c>
      <c r="B693" s="211" t="s">
        <v>1469</v>
      </c>
      <c r="C693" s="209">
        <v>0</v>
      </c>
      <c r="D693" s="209">
        <v>0</v>
      </c>
      <c r="E693" s="209">
        <v>0</v>
      </c>
      <c r="F693" s="209">
        <v>0</v>
      </c>
      <c r="G693" s="242">
        <v>0</v>
      </c>
      <c r="H693" s="239"/>
      <c r="I693" s="239"/>
      <c r="J693" s="210">
        <v>0</v>
      </c>
      <c r="K693" s="209">
        <v>0</v>
      </c>
      <c r="L693" s="209">
        <v>0</v>
      </c>
      <c r="M693" s="209">
        <v>0</v>
      </c>
      <c r="N693" s="242">
        <v>0</v>
      </c>
      <c r="O693" s="239"/>
    </row>
    <row r="694" spans="1:15" x14ac:dyDescent="0.35">
      <c r="A694" s="211" t="s">
        <v>1470</v>
      </c>
      <c r="B694" s="211" t="s">
        <v>1471</v>
      </c>
      <c r="C694" s="209">
        <v>0</v>
      </c>
      <c r="D694" s="209">
        <v>0</v>
      </c>
      <c r="E694" s="209">
        <v>0</v>
      </c>
      <c r="F694" s="209">
        <v>0</v>
      </c>
      <c r="G694" s="242">
        <v>0</v>
      </c>
      <c r="H694" s="239"/>
      <c r="I694" s="239"/>
      <c r="J694" s="210">
        <v>0</v>
      </c>
      <c r="K694" s="209">
        <v>0</v>
      </c>
      <c r="L694" s="209">
        <v>0</v>
      </c>
      <c r="M694" s="209">
        <v>0</v>
      </c>
      <c r="N694" s="242">
        <v>0</v>
      </c>
      <c r="O694" s="239"/>
    </row>
    <row r="695" spans="1:15" x14ac:dyDescent="0.35">
      <c r="A695" s="211" t="s">
        <v>1472</v>
      </c>
      <c r="B695" s="211" t="s">
        <v>1473</v>
      </c>
      <c r="C695" s="209">
        <v>0</v>
      </c>
      <c r="D695" s="209">
        <v>0</v>
      </c>
      <c r="E695" s="209">
        <v>0</v>
      </c>
      <c r="F695" s="209">
        <v>0</v>
      </c>
      <c r="G695" s="242">
        <v>0</v>
      </c>
      <c r="H695" s="239"/>
      <c r="I695" s="239"/>
      <c r="J695" s="210">
        <v>0</v>
      </c>
      <c r="K695" s="209">
        <v>0</v>
      </c>
      <c r="L695" s="209">
        <v>0</v>
      </c>
      <c r="M695" s="209">
        <v>0</v>
      </c>
      <c r="N695" s="242">
        <v>0</v>
      </c>
      <c r="O695" s="239"/>
    </row>
    <row r="696" spans="1:15" x14ac:dyDescent="0.35">
      <c r="A696" s="211" t="s">
        <v>1474</v>
      </c>
      <c r="B696" s="211" t="s">
        <v>1475</v>
      </c>
      <c r="C696" s="209">
        <v>0</v>
      </c>
      <c r="D696" s="209">
        <v>0</v>
      </c>
      <c r="E696" s="209">
        <v>0</v>
      </c>
      <c r="F696" s="209">
        <v>0</v>
      </c>
      <c r="G696" s="242">
        <v>0</v>
      </c>
      <c r="H696" s="239"/>
      <c r="I696" s="239"/>
      <c r="J696" s="210">
        <v>0</v>
      </c>
      <c r="K696" s="209">
        <v>0</v>
      </c>
      <c r="L696" s="209">
        <v>0</v>
      </c>
      <c r="M696" s="209">
        <v>0</v>
      </c>
      <c r="N696" s="242">
        <v>0</v>
      </c>
      <c r="O696" s="239"/>
    </row>
    <row r="697" spans="1:15" x14ac:dyDescent="0.35">
      <c r="A697" s="211" t="s">
        <v>1476</v>
      </c>
      <c r="B697" s="211" t="s">
        <v>1477</v>
      </c>
      <c r="C697" s="209">
        <v>0</v>
      </c>
      <c r="D697" s="209">
        <v>0</v>
      </c>
      <c r="E697" s="209">
        <v>0</v>
      </c>
      <c r="F697" s="209">
        <v>0</v>
      </c>
      <c r="G697" s="242">
        <v>0</v>
      </c>
      <c r="H697" s="239"/>
      <c r="I697" s="239"/>
      <c r="J697" s="210">
        <v>0</v>
      </c>
      <c r="K697" s="209">
        <v>0</v>
      </c>
      <c r="L697" s="209">
        <v>0</v>
      </c>
      <c r="M697" s="209">
        <v>0</v>
      </c>
      <c r="N697" s="242">
        <v>0</v>
      </c>
      <c r="O697" s="239"/>
    </row>
    <row r="698" spans="1:15" x14ac:dyDescent="0.35">
      <c r="A698" s="211" t="s">
        <v>1478</v>
      </c>
      <c r="B698" s="211" t="s">
        <v>1479</v>
      </c>
      <c r="C698" s="209">
        <v>0</v>
      </c>
      <c r="D698" s="209">
        <v>0</v>
      </c>
      <c r="E698" s="209">
        <v>0</v>
      </c>
      <c r="F698" s="209">
        <v>0</v>
      </c>
      <c r="G698" s="242">
        <v>0</v>
      </c>
      <c r="H698" s="239"/>
      <c r="I698" s="239"/>
      <c r="J698" s="210">
        <v>0</v>
      </c>
      <c r="K698" s="209">
        <v>0</v>
      </c>
      <c r="L698" s="209">
        <v>0</v>
      </c>
      <c r="M698" s="209">
        <v>0</v>
      </c>
      <c r="N698" s="242">
        <v>0</v>
      </c>
      <c r="O698" s="239"/>
    </row>
    <row r="699" spans="1:15" ht="23" x14ac:dyDescent="0.35">
      <c r="A699" s="211" t="s">
        <v>1480</v>
      </c>
      <c r="B699" s="211" t="s">
        <v>1481</v>
      </c>
      <c r="C699" s="209">
        <v>0</v>
      </c>
      <c r="D699" s="209">
        <v>0</v>
      </c>
      <c r="E699" s="209">
        <v>0</v>
      </c>
      <c r="F699" s="209">
        <v>0</v>
      </c>
      <c r="G699" s="242">
        <v>0</v>
      </c>
      <c r="H699" s="239"/>
      <c r="I699" s="239"/>
      <c r="J699" s="210">
        <v>0</v>
      </c>
      <c r="K699" s="209">
        <v>0</v>
      </c>
      <c r="L699" s="209">
        <v>0</v>
      </c>
      <c r="M699" s="209">
        <v>0</v>
      </c>
      <c r="N699" s="242">
        <v>0</v>
      </c>
      <c r="O699" s="239"/>
    </row>
    <row r="700" spans="1:15" x14ac:dyDescent="0.35">
      <c r="A700" s="211" t="s">
        <v>1482</v>
      </c>
      <c r="B700" s="211" t="s">
        <v>1483</v>
      </c>
      <c r="C700" s="209">
        <v>0</v>
      </c>
      <c r="D700" s="209">
        <v>0</v>
      </c>
      <c r="E700" s="209">
        <v>0</v>
      </c>
      <c r="F700" s="209">
        <v>0</v>
      </c>
      <c r="G700" s="242">
        <v>0</v>
      </c>
      <c r="H700" s="239"/>
      <c r="I700" s="239"/>
      <c r="J700" s="210">
        <v>0</v>
      </c>
      <c r="K700" s="209">
        <v>0</v>
      </c>
      <c r="L700" s="209">
        <v>0</v>
      </c>
      <c r="M700" s="209">
        <v>0</v>
      </c>
      <c r="N700" s="242">
        <v>0</v>
      </c>
      <c r="O700" s="239"/>
    </row>
    <row r="701" spans="1:15" ht="23" x14ac:dyDescent="0.35">
      <c r="A701" s="211" t="s">
        <v>1484</v>
      </c>
      <c r="B701" s="211" t="s">
        <v>1485</v>
      </c>
      <c r="C701" s="209">
        <v>0</v>
      </c>
      <c r="D701" s="209">
        <v>0</v>
      </c>
      <c r="E701" s="209">
        <v>0</v>
      </c>
      <c r="F701" s="209">
        <v>0</v>
      </c>
      <c r="G701" s="242">
        <v>0</v>
      </c>
      <c r="H701" s="239"/>
      <c r="I701" s="239"/>
      <c r="J701" s="210">
        <v>0</v>
      </c>
      <c r="K701" s="209">
        <v>0</v>
      </c>
      <c r="L701" s="209">
        <v>0</v>
      </c>
      <c r="M701" s="209">
        <v>0</v>
      </c>
      <c r="N701" s="242">
        <v>0</v>
      </c>
      <c r="O701" s="239"/>
    </row>
    <row r="702" spans="1:15" ht="23" x14ac:dyDescent="0.35">
      <c r="A702" s="211" t="s">
        <v>1486</v>
      </c>
      <c r="B702" s="211" t="s">
        <v>1487</v>
      </c>
      <c r="C702" s="209">
        <v>651913.92000000004</v>
      </c>
      <c r="D702" s="209">
        <v>0</v>
      </c>
      <c r="E702" s="209">
        <v>0</v>
      </c>
      <c r="F702" s="209">
        <v>651913.92000000004</v>
      </c>
      <c r="G702" s="242">
        <v>-651913.92000000004</v>
      </c>
      <c r="H702" s="239"/>
      <c r="I702" s="239"/>
      <c r="J702" s="210">
        <v>0</v>
      </c>
      <c r="K702" s="209">
        <v>0</v>
      </c>
      <c r="L702" s="209">
        <v>-651913.92000000004</v>
      </c>
      <c r="M702" s="209">
        <v>0</v>
      </c>
      <c r="N702" s="242">
        <v>0</v>
      </c>
      <c r="O702" s="239"/>
    </row>
    <row r="703" spans="1:15" x14ac:dyDescent="0.35">
      <c r="A703" s="211" t="s">
        <v>1488</v>
      </c>
      <c r="B703" s="211" t="s">
        <v>1489</v>
      </c>
      <c r="C703" s="209">
        <v>0</v>
      </c>
      <c r="D703" s="209">
        <v>0</v>
      </c>
      <c r="E703" s="209">
        <v>0</v>
      </c>
      <c r="F703" s="209">
        <v>0</v>
      </c>
      <c r="G703" s="242">
        <v>0</v>
      </c>
      <c r="H703" s="239"/>
      <c r="I703" s="239"/>
      <c r="J703" s="210">
        <v>0</v>
      </c>
      <c r="K703" s="209">
        <v>0</v>
      </c>
      <c r="L703" s="209">
        <v>0</v>
      </c>
      <c r="M703" s="209">
        <v>0</v>
      </c>
      <c r="N703" s="242">
        <v>0</v>
      </c>
      <c r="O703" s="239"/>
    </row>
    <row r="704" spans="1:15" x14ac:dyDescent="0.35">
      <c r="A704" s="211" t="s">
        <v>1490</v>
      </c>
      <c r="B704" s="211" t="s">
        <v>1491</v>
      </c>
      <c r="C704" s="209">
        <v>0</v>
      </c>
      <c r="D704" s="209">
        <v>0</v>
      </c>
      <c r="E704" s="209">
        <v>0</v>
      </c>
      <c r="F704" s="209">
        <v>0</v>
      </c>
      <c r="G704" s="242">
        <v>0</v>
      </c>
      <c r="H704" s="239"/>
      <c r="I704" s="239"/>
      <c r="J704" s="210">
        <v>0</v>
      </c>
      <c r="K704" s="209">
        <v>0</v>
      </c>
      <c r="L704" s="209">
        <v>0</v>
      </c>
      <c r="M704" s="209">
        <v>0</v>
      </c>
      <c r="N704" s="242">
        <v>0</v>
      </c>
      <c r="O704" s="239"/>
    </row>
    <row r="705" spans="1:15" x14ac:dyDescent="0.35">
      <c r="A705" s="211" t="s">
        <v>1492</v>
      </c>
      <c r="B705" s="211" t="s">
        <v>1493</v>
      </c>
      <c r="C705" s="209">
        <v>0</v>
      </c>
      <c r="D705" s="209">
        <v>0</v>
      </c>
      <c r="E705" s="209">
        <v>0</v>
      </c>
      <c r="F705" s="209">
        <v>0</v>
      </c>
      <c r="G705" s="242">
        <v>0</v>
      </c>
      <c r="H705" s="239"/>
      <c r="I705" s="239"/>
      <c r="J705" s="210">
        <v>0</v>
      </c>
      <c r="K705" s="209">
        <v>0</v>
      </c>
      <c r="L705" s="209">
        <v>0</v>
      </c>
      <c r="M705" s="209">
        <v>0</v>
      </c>
      <c r="N705" s="242">
        <v>0</v>
      </c>
      <c r="O705" s="239"/>
    </row>
    <row r="706" spans="1:15" ht="23" x14ac:dyDescent="0.35">
      <c r="A706" s="211" t="s">
        <v>1494</v>
      </c>
      <c r="B706" s="211" t="s">
        <v>1495</v>
      </c>
      <c r="C706" s="209">
        <v>0</v>
      </c>
      <c r="D706" s="209">
        <v>0</v>
      </c>
      <c r="E706" s="209">
        <v>0</v>
      </c>
      <c r="F706" s="209">
        <v>0</v>
      </c>
      <c r="G706" s="242">
        <v>0</v>
      </c>
      <c r="H706" s="239"/>
      <c r="I706" s="239"/>
      <c r="J706" s="210">
        <v>0</v>
      </c>
      <c r="K706" s="209">
        <v>0</v>
      </c>
      <c r="L706" s="209">
        <v>0</v>
      </c>
      <c r="M706" s="209">
        <v>0</v>
      </c>
      <c r="N706" s="242">
        <v>0</v>
      </c>
      <c r="O706" s="239"/>
    </row>
    <row r="707" spans="1:15" ht="23" x14ac:dyDescent="0.35">
      <c r="A707" s="211" t="s">
        <v>1496</v>
      </c>
      <c r="B707" s="211" t="s">
        <v>1497</v>
      </c>
      <c r="C707" s="209">
        <v>0</v>
      </c>
      <c r="D707" s="209">
        <v>0</v>
      </c>
      <c r="E707" s="209">
        <v>0</v>
      </c>
      <c r="F707" s="209">
        <v>0</v>
      </c>
      <c r="G707" s="242">
        <v>0</v>
      </c>
      <c r="H707" s="239"/>
      <c r="I707" s="239"/>
      <c r="J707" s="210">
        <v>0</v>
      </c>
      <c r="K707" s="209">
        <v>0</v>
      </c>
      <c r="L707" s="209">
        <v>0</v>
      </c>
      <c r="M707" s="209">
        <v>0</v>
      </c>
      <c r="N707" s="242">
        <v>0</v>
      </c>
      <c r="O707" s="239"/>
    </row>
    <row r="708" spans="1:15" x14ac:dyDescent="0.35">
      <c r="A708" s="211" t="s">
        <v>1498</v>
      </c>
      <c r="B708" s="211" t="s">
        <v>1499</v>
      </c>
      <c r="C708" s="209">
        <v>0</v>
      </c>
      <c r="D708" s="209">
        <v>0</v>
      </c>
      <c r="E708" s="209">
        <v>0</v>
      </c>
      <c r="F708" s="209">
        <v>0</v>
      </c>
      <c r="G708" s="242">
        <v>0</v>
      </c>
      <c r="H708" s="239"/>
      <c r="I708" s="239"/>
      <c r="J708" s="210">
        <v>0</v>
      </c>
      <c r="K708" s="209">
        <v>0</v>
      </c>
      <c r="L708" s="209">
        <v>0</v>
      </c>
      <c r="M708" s="209">
        <v>0</v>
      </c>
      <c r="N708" s="242">
        <v>0</v>
      </c>
      <c r="O708" s="239"/>
    </row>
    <row r="709" spans="1:15" ht="23" x14ac:dyDescent="0.35">
      <c r="A709" s="211" t="s">
        <v>1500</v>
      </c>
      <c r="B709" s="211" t="s">
        <v>1501</v>
      </c>
      <c r="C709" s="209">
        <v>0</v>
      </c>
      <c r="D709" s="209">
        <v>0</v>
      </c>
      <c r="E709" s="209">
        <v>0</v>
      </c>
      <c r="F709" s="209">
        <v>0</v>
      </c>
      <c r="G709" s="242">
        <v>0</v>
      </c>
      <c r="H709" s="239"/>
      <c r="I709" s="239"/>
      <c r="J709" s="210">
        <v>0</v>
      </c>
      <c r="K709" s="209">
        <v>0</v>
      </c>
      <c r="L709" s="209">
        <v>0</v>
      </c>
      <c r="M709" s="209">
        <v>0</v>
      </c>
      <c r="N709" s="242">
        <v>0</v>
      </c>
      <c r="O709" s="239"/>
    </row>
    <row r="710" spans="1:15" x14ac:dyDescent="0.35">
      <c r="A710" s="211" t="s">
        <v>1502</v>
      </c>
      <c r="B710" s="211" t="s">
        <v>1503</v>
      </c>
      <c r="C710" s="209">
        <v>0</v>
      </c>
      <c r="D710" s="209">
        <v>0</v>
      </c>
      <c r="E710" s="209">
        <v>0</v>
      </c>
      <c r="F710" s="209">
        <v>0</v>
      </c>
      <c r="G710" s="242">
        <v>0</v>
      </c>
      <c r="H710" s="239"/>
      <c r="I710" s="239"/>
      <c r="J710" s="210">
        <v>0</v>
      </c>
      <c r="K710" s="209">
        <v>0</v>
      </c>
      <c r="L710" s="209">
        <v>0</v>
      </c>
      <c r="M710" s="209">
        <v>0</v>
      </c>
      <c r="N710" s="242">
        <v>0</v>
      </c>
      <c r="O710" s="239"/>
    </row>
    <row r="711" spans="1:15" x14ac:dyDescent="0.35">
      <c r="A711" s="211" t="s">
        <v>1504</v>
      </c>
      <c r="B711" s="211" t="s">
        <v>1505</v>
      </c>
      <c r="C711" s="209">
        <v>0</v>
      </c>
      <c r="D711" s="209">
        <v>0</v>
      </c>
      <c r="E711" s="209">
        <v>0</v>
      </c>
      <c r="F711" s="209">
        <v>0</v>
      </c>
      <c r="G711" s="242">
        <v>0</v>
      </c>
      <c r="H711" s="239"/>
      <c r="I711" s="239"/>
      <c r="J711" s="210">
        <v>0</v>
      </c>
      <c r="K711" s="209">
        <v>0</v>
      </c>
      <c r="L711" s="209">
        <v>0</v>
      </c>
      <c r="M711" s="209">
        <v>0</v>
      </c>
      <c r="N711" s="242">
        <v>0</v>
      </c>
      <c r="O711" s="239"/>
    </row>
    <row r="712" spans="1:15" x14ac:dyDescent="0.35">
      <c r="A712" s="211" t="s">
        <v>1506</v>
      </c>
      <c r="B712" s="211" t="s">
        <v>1507</v>
      </c>
      <c r="C712" s="209">
        <v>0</v>
      </c>
      <c r="D712" s="209">
        <v>0</v>
      </c>
      <c r="E712" s="209">
        <v>0</v>
      </c>
      <c r="F712" s="209">
        <v>0</v>
      </c>
      <c r="G712" s="242">
        <v>0</v>
      </c>
      <c r="H712" s="239"/>
      <c r="I712" s="239"/>
      <c r="J712" s="210">
        <v>0</v>
      </c>
      <c r="K712" s="209">
        <v>0</v>
      </c>
      <c r="L712" s="209">
        <v>0</v>
      </c>
      <c r="M712" s="209">
        <v>0</v>
      </c>
      <c r="N712" s="242">
        <v>0</v>
      </c>
      <c r="O712" s="239"/>
    </row>
    <row r="713" spans="1:15" x14ac:dyDescent="0.35">
      <c r="A713" s="211" t="s">
        <v>1508</v>
      </c>
      <c r="B713" s="211" t="s">
        <v>1509</v>
      </c>
      <c r="C713" s="209">
        <v>0</v>
      </c>
      <c r="D713" s="209">
        <v>0</v>
      </c>
      <c r="E713" s="209">
        <v>0</v>
      </c>
      <c r="F713" s="209">
        <v>0</v>
      </c>
      <c r="G713" s="242">
        <v>0</v>
      </c>
      <c r="H713" s="239"/>
      <c r="I713" s="239"/>
      <c r="J713" s="210">
        <v>0</v>
      </c>
      <c r="K713" s="209">
        <v>0</v>
      </c>
      <c r="L713" s="209">
        <v>0</v>
      </c>
      <c r="M713" s="209">
        <v>0</v>
      </c>
      <c r="N713" s="242">
        <v>0</v>
      </c>
      <c r="O713" s="239"/>
    </row>
    <row r="714" spans="1:15" x14ac:dyDescent="0.35">
      <c r="A714" s="211" t="s">
        <v>1510</v>
      </c>
      <c r="B714" s="211" t="s">
        <v>1511</v>
      </c>
      <c r="C714" s="209">
        <v>0</v>
      </c>
      <c r="D714" s="209">
        <v>0</v>
      </c>
      <c r="E714" s="209">
        <v>0</v>
      </c>
      <c r="F714" s="209">
        <v>0</v>
      </c>
      <c r="G714" s="242">
        <v>0</v>
      </c>
      <c r="H714" s="239"/>
      <c r="I714" s="239"/>
      <c r="J714" s="210">
        <v>0</v>
      </c>
      <c r="K714" s="209">
        <v>0</v>
      </c>
      <c r="L714" s="209">
        <v>0</v>
      </c>
      <c r="M714" s="209">
        <v>0</v>
      </c>
      <c r="N714" s="242">
        <v>0</v>
      </c>
      <c r="O714" s="239"/>
    </row>
    <row r="715" spans="1:15" ht="34.5" x14ac:dyDescent="0.35">
      <c r="A715" s="211" t="s">
        <v>1512</v>
      </c>
      <c r="B715" s="211" t="s">
        <v>1513</v>
      </c>
      <c r="C715" s="209">
        <v>0</v>
      </c>
      <c r="D715" s="209">
        <v>0</v>
      </c>
      <c r="E715" s="209">
        <v>0</v>
      </c>
      <c r="F715" s="209">
        <v>0</v>
      </c>
      <c r="G715" s="242">
        <v>0</v>
      </c>
      <c r="H715" s="239"/>
      <c r="I715" s="239"/>
      <c r="J715" s="210">
        <v>0</v>
      </c>
      <c r="K715" s="209">
        <v>0</v>
      </c>
      <c r="L715" s="209">
        <v>0</v>
      </c>
      <c r="M715" s="209">
        <v>0</v>
      </c>
      <c r="N715" s="242">
        <v>0</v>
      </c>
      <c r="O715" s="239"/>
    </row>
    <row r="716" spans="1:15" ht="23" x14ac:dyDescent="0.35">
      <c r="A716" s="211" t="s">
        <v>1514</v>
      </c>
      <c r="B716" s="211" t="s">
        <v>1515</v>
      </c>
      <c r="C716" s="209">
        <v>0</v>
      </c>
      <c r="D716" s="209">
        <v>0</v>
      </c>
      <c r="E716" s="209">
        <v>0</v>
      </c>
      <c r="F716" s="209">
        <v>0</v>
      </c>
      <c r="G716" s="242">
        <v>0</v>
      </c>
      <c r="H716" s="239"/>
      <c r="I716" s="239"/>
      <c r="J716" s="210">
        <v>0</v>
      </c>
      <c r="K716" s="209">
        <v>0</v>
      </c>
      <c r="L716" s="209">
        <v>0</v>
      </c>
      <c r="M716" s="209">
        <v>0</v>
      </c>
      <c r="N716" s="242">
        <v>0</v>
      </c>
      <c r="O716" s="239"/>
    </row>
    <row r="717" spans="1:15" ht="23" x14ac:dyDescent="0.35">
      <c r="A717" s="211" t="s">
        <v>1516</v>
      </c>
      <c r="B717" s="211" t="s">
        <v>1517</v>
      </c>
      <c r="C717" s="209">
        <v>0</v>
      </c>
      <c r="D717" s="209">
        <v>0</v>
      </c>
      <c r="E717" s="209">
        <v>0</v>
      </c>
      <c r="F717" s="209">
        <v>0</v>
      </c>
      <c r="G717" s="242">
        <v>0</v>
      </c>
      <c r="H717" s="239"/>
      <c r="I717" s="239"/>
      <c r="J717" s="210">
        <v>0</v>
      </c>
      <c r="K717" s="209">
        <v>0</v>
      </c>
      <c r="L717" s="209">
        <v>0</v>
      </c>
      <c r="M717" s="209">
        <v>0</v>
      </c>
      <c r="N717" s="242">
        <v>0</v>
      </c>
      <c r="O717" s="239"/>
    </row>
    <row r="718" spans="1:15" x14ac:dyDescent="0.35">
      <c r="A718" s="211" t="s">
        <v>1518</v>
      </c>
      <c r="B718" s="211" t="s">
        <v>1519</v>
      </c>
      <c r="C718" s="209">
        <v>0</v>
      </c>
      <c r="D718" s="209">
        <v>0</v>
      </c>
      <c r="E718" s="209">
        <v>0</v>
      </c>
      <c r="F718" s="209">
        <v>0</v>
      </c>
      <c r="G718" s="242">
        <v>0</v>
      </c>
      <c r="H718" s="239"/>
      <c r="I718" s="239"/>
      <c r="J718" s="210">
        <v>0</v>
      </c>
      <c r="K718" s="209">
        <v>0</v>
      </c>
      <c r="L718" s="209">
        <v>0</v>
      </c>
      <c r="M718" s="209">
        <v>0</v>
      </c>
      <c r="N718" s="242">
        <v>0</v>
      </c>
      <c r="O718" s="239"/>
    </row>
    <row r="719" spans="1:15" x14ac:dyDescent="0.35">
      <c r="A719" s="211" t="s">
        <v>1520</v>
      </c>
      <c r="B719" s="211" t="s">
        <v>1521</v>
      </c>
      <c r="C719" s="209">
        <v>0</v>
      </c>
      <c r="D719" s="209">
        <v>0</v>
      </c>
      <c r="E719" s="209">
        <v>0</v>
      </c>
      <c r="F719" s="209">
        <v>0</v>
      </c>
      <c r="G719" s="242">
        <v>0</v>
      </c>
      <c r="H719" s="239"/>
      <c r="I719" s="239"/>
      <c r="J719" s="210">
        <v>0</v>
      </c>
      <c r="K719" s="209">
        <v>0</v>
      </c>
      <c r="L719" s="209">
        <v>0</v>
      </c>
      <c r="M719" s="209">
        <v>0</v>
      </c>
      <c r="N719" s="242">
        <v>0</v>
      </c>
      <c r="O719" s="239"/>
    </row>
    <row r="720" spans="1:15" x14ac:dyDescent="0.35">
      <c r="A720" s="211" t="s">
        <v>1522</v>
      </c>
      <c r="B720" s="211" t="s">
        <v>1523</v>
      </c>
      <c r="C720" s="209">
        <v>0</v>
      </c>
      <c r="D720" s="209">
        <v>0</v>
      </c>
      <c r="E720" s="209">
        <v>0</v>
      </c>
      <c r="F720" s="209">
        <v>0</v>
      </c>
      <c r="G720" s="242">
        <v>0</v>
      </c>
      <c r="H720" s="239"/>
      <c r="I720" s="239"/>
      <c r="J720" s="210">
        <v>0</v>
      </c>
      <c r="K720" s="209">
        <v>0</v>
      </c>
      <c r="L720" s="209">
        <v>0</v>
      </c>
      <c r="M720" s="209">
        <v>0</v>
      </c>
      <c r="N720" s="242">
        <v>0</v>
      </c>
      <c r="O720" s="239"/>
    </row>
    <row r="721" spans="1:15" ht="23" x14ac:dyDescent="0.35">
      <c r="A721" s="211" t="s">
        <v>1524</v>
      </c>
      <c r="B721" s="211" t="s">
        <v>1525</v>
      </c>
      <c r="C721" s="209">
        <v>0</v>
      </c>
      <c r="D721" s="209">
        <v>0</v>
      </c>
      <c r="E721" s="209">
        <v>0</v>
      </c>
      <c r="F721" s="209">
        <v>0</v>
      </c>
      <c r="G721" s="242">
        <v>0</v>
      </c>
      <c r="H721" s="239"/>
      <c r="I721" s="239"/>
      <c r="J721" s="210">
        <v>0</v>
      </c>
      <c r="K721" s="209">
        <v>0</v>
      </c>
      <c r="L721" s="209">
        <v>0</v>
      </c>
      <c r="M721" s="209">
        <v>0</v>
      </c>
      <c r="N721" s="242">
        <v>0</v>
      </c>
      <c r="O721" s="239"/>
    </row>
    <row r="722" spans="1:15" ht="23" x14ac:dyDescent="0.35">
      <c r="A722" s="211" t="s">
        <v>1526</v>
      </c>
      <c r="B722" s="211" t="s">
        <v>1527</v>
      </c>
      <c r="C722" s="209">
        <v>0</v>
      </c>
      <c r="D722" s="209">
        <v>0</v>
      </c>
      <c r="E722" s="209">
        <v>0</v>
      </c>
      <c r="F722" s="209">
        <v>0</v>
      </c>
      <c r="G722" s="242">
        <v>0</v>
      </c>
      <c r="H722" s="239"/>
      <c r="I722" s="239"/>
      <c r="J722" s="210">
        <v>0</v>
      </c>
      <c r="K722" s="209">
        <v>0</v>
      </c>
      <c r="L722" s="209">
        <v>0</v>
      </c>
      <c r="M722" s="209">
        <v>0</v>
      </c>
      <c r="N722" s="242">
        <v>0</v>
      </c>
      <c r="O722" s="239"/>
    </row>
    <row r="723" spans="1:15" ht="23" x14ac:dyDescent="0.35">
      <c r="A723" s="211" t="s">
        <v>1528</v>
      </c>
      <c r="B723" s="211" t="s">
        <v>1529</v>
      </c>
      <c r="C723" s="209">
        <v>0</v>
      </c>
      <c r="D723" s="209">
        <v>0</v>
      </c>
      <c r="E723" s="209">
        <v>0</v>
      </c>
      <c r="F723" s="209">
        <v>0</v>
      </c>
      <c r="G723" s="242">
        <v>0</v>
      </c>
      <c r="H723" s="239"/>
      <c r="I723" s="239"/>
      <c r="J723" s="210">
        <v>0</v>
      </c>
      <c r="K723" s="209">
        <v>0</v>
      </c>
      <c r="L723" s="209">
        <v>0</v>
      </c>
      <c r="M723" s="209">
        <v>0</v>
      </c>
      <c r="N723" s="242">
        <v>0</v>
      </c>
      <c r="O723" s="239"/>
    </row>
    <row r="724" spans="1:15" x14ac:dyDescent="0.35">
      <c r="A724" s="211" t="s">
        <v>1530</v>
      </c>
      <c r="B724" s="211" t="s">
        <v>1531</v>
      </c>
      <c r="C724" s="209">
        <v>0</v>
      </c>
      <c r="D724" s="209">
        <v>0</v>
      </c>
      <c r="E724" s="209">
        <v>0</v>
      </c>
      <c r="F724" s="209">
        <v>0</v>
      </c>
      <c r="G724" s="242">
        <v>0</v>
      </c>
      <c r="H724" s="239"/>
      <c r="I724" s="239"/>
      <c r="J724" s="210">
        <v>0</v>
      </c>
      <c r="K724" s="209">
        <v>0</v>
      </c>
      <c r="L724" s="209">
        <v>0</v>
      </c>
      <c r="M724" s="209">
        <v>0</v>
      </c>
      <c r="N724" s="242">
        <v>0</v>
      </c>
      <c r="O724" s="239"/>
    </row>
    <row r="725" spans="1:15" x14ac:dyDescent="0.35">
      <c r="A725" s="211" t="s">
        <v>1532</v>
      </c>
      <c r="B725" s="211" t="s">
        <v>1533</v>
      </c>
      <c r="C725" s="209">
        <v>0</v>
      </c>
      <c r="D725" s="209">
        <v>0</v>
      </c>
      <c r="E725" s="209">
        <v>0</v>
      </c>
      <c r="F725" s="209">
        <v>0</v>
      </c>
      <c r="G725" s="242">
        <v>0</v>
      </c>
      <c r="H725" s="239"/>
      <c r="I725" s="239"/>
      <c r="J725" s="210">
        <v>0</v>
      </c>
      <c r="K725" s="209">
        <v>0</v>
      </c>
      <c r="L725" s="209">
        <v>0</v>
      </c>
      <c r="M725" s="209">
        <v>0</v>
      </c>
      <c r="N725" s="242">
        <v>0</v>
      </c>
      <c r="O725" s="239"/>
    </row>
    <row r="726" spans="1:15" ht="23" x14ac:dyDescent="0.35">
      <c r="A726" s="211" t="s">
        <v>1534</v>
      </c>
      <c r="B726" s="211" t="s">
        <v>1535</v>
      </c>
      <c r="C726" s="209">
        <v>0</v>
      </c>
      <c r="D726" s="209">
        <v>0</v>
      </c>
      <c r="E726" s="209">
        <v>0</v>
      </c>
      <c r="F726" s="209">
        <v>0</v>
      </c>
      <c r="G726" s="242">
        <v>0</v>
      </c>
      <c r="H726" s="239"/>
      <c r="I726" s="239"/>
      <c r="J726" s="210">
        <v>0</v>
      </c>
      <c r="K726" s="209">
        <v>0</v>
      </c>
      <c r="L726" s="209">
        <v>0</v>
      </c>
      <c r="M726" s="209">
        <v>0</v>
      </c>
      <c r="N726" s="242">
        <v>0</v>
      </c>
      <c r="O726" s="239"/>
    </row>
    <row r="727" spans="1:15" ht="23" x14ac:dyDescent="0.35">
      <c r="A727" s="211" t="s">
        <v>1536</v>
      </c>
      <c r="B727" s="211" t="s">
        <v>1537</v>
      </c>
      <c r="C727" s="209">
        <v>0</v>
      </c>
      <c r="D727" s="209">
        <v>0</v>
      </c>
      <c r="E727" s="209">
        <v>0</v>
      </c>
      <c r="F727" s="209">
        <v>0</v>
      </c>
      <c r="G727" s="242">
        <v>0</v>
      </c>
      <c r="H727" s="239"/>
      <c r="I727" s="239"/>
      <c r="J727" s="210">
        <v>0</v>
      </c>
      <c r="K727" s="209">
        <v>0</v>
      </c>
      <c r="L727" s="209">
        <v>0</v>
      </c>
      <c r="M727" s="209">
        <v>0</v>
      </c>
      <c r="N727" s="242">
        <v>0</v>
      </c>
      <c r="O727" s="239"/>
    </row>
    <row r="728" spans="1:15" ht="23" x14ac:dyDescent="0.35">
      <c r="A728" s="211" t="s">
        <v>1538</v>
      </c>
      <c r="B728" s="211" t="s">
        <v>1539</v>
      </c>
      <c r="C728" s="209">
        <v>0</v>
      </c>
      <c r="D728" s="209">
        <v>0</v>
      </c>
      <c r="E728" s="209">
        <v>0</v>
      </c>
      <c r="F728" s="209">
        <v>0</v>
      </c>
      <c r="G728" s="242">
        <v>0</v>
      </c>
      <c r="H728" s="239"/>
      <c r="I728" s="239"/>
      <c r="J728" s="210">
        <v>0</v>
      </c>
      <c r="K728" s="209">
        <v>0</v>
      </c>
      <c r="L728" s="209">
        <v>0</v>
      </c>
      <c r="M728" s="209">
        <v>0</v>
      </c>
      <c r="N728" s="242">
        <v>0</v>
      </c>
      <c r="O728" s="239"/>
    </row>
    <row r="729" spans="1:15" ht="23" x14ac:dyDescent="0.35">
      <c r="A729" s="211" t="s">
        <v>1540</v>
      </c>
      <c r="B729" s="211" t="s">
        <v>1541</v>
      </c>
      <c r="C729" s="209">
        <v>0</v>
      </c>
      <c r="D729" s="209">
        <v>0</v>
      </c>
      <c r="E729" s="209">
        <v>0</v>
      </c>
      <c r="F729" s="209">
        <v>0</v>
      </c>
      <c r="G729" s="242">
        <v>0</v>
      </c>
      <c r="H729" s="239"/>
      <c r="I729" s="239"/>
      <c r="J729" s="210">
        <v>0</v>
      </c>
      <c r="K729" s="209">
        <v>0</v>
      </c>
      <c r="L729" s="209">
        <v>0</v>
      </c>
      <c r="M729" s="209">
        <v>0</v>
      </c>
      <c r="N729" s="242">
        <v>0</v>
      </c>
      <c r="O729" s="239"/>
    </row>
    <row r="730" spans="1:15" x14ac:dyDescent="0.35">
      <c r="A730" s="211" t="s">
        <v>1542</v>
      </c>
      <c r="B730" s="211" t="s">
        <v>1543</v>
      </c>
      <c r="C730" s="209">
        <v>0</v>
      </c>
      <c r="D730" s="209">
        <v>0</v>
      </c>
      <c r="E730" s="209">
        <v>0</v>
      </c>
      <c r="F730" s="209">
        <v>0</v>
      </c>
      <c r="G730" s="242">
        <v>0</v>
      </c>
      <c r="H730" s="239"/>
      <c r="I730" s="239"/>
      <c r="J730" s="210">
        <v>0</v>
      </c>
      <c r="K730" s="209">
        <v>0</v>
      </c>
      <c r="L730" s="209">
        <v>0</v>
      </c>
      <c r="M730" s="209">
        <v>0</v>
      </c>
      <c r="N730" s="242">
        <v>0</v>
      </c>
      <c r="O730" s="239"/>
    </row>
    <row r="731" spans="1:15" ht="23" x14ac:dyDescent="0.35">
      <c r="A731" s="211" t="s">
        <v>1544</v>
      </c>
      <c r="B731" s="211" t="s">
        <v>1545</v>
      </c>
      <c r="C731" s="209">
        <v>0</v>
      </c>
      <c r="D731" s="209">
        <v>0</v>
      </c>
      <c r="E731" s="209">
        <v>0</v>
      </c>
      <c r="F731" s="209">
        <v>0</v>
      </c>
      <c r="G731" s="242">
        <v>0</v>
      </c>
      <c r="H731" s="239"/>
      <c r="I731" s="239"/>
      <c r="J731" s="210">
        <v>0</v>
      </c>
      <c r="K731" s="209">
        <v>0</v>
      </c>
      <c r="L731" s="209">
        <v>0</v>
      </c>
      <c r="M731" s="209">
        <v>0</v>
      </c>
      <c r="N731" s="242">
        <v>0</v>
      </c>
      <c r="O731" s="239"/>
    </row>
    <row r="732" spans="1:15" x14ac:dyDescent="0.35">
      <c r="A732" s="211" t="s">
        <v>1546</v>
      </c>
      <c r="B732" s="211" t="s">
        <v>1547</v>
      </c>
      <c r="C732" s="209">
        <v>0</v>
      </c>
      <c r="D732" s="209">
        <v>0</v>
      </c>
      <c r="E732" s="209">
        <v>0</v>
      </c>
      <c r="F732" s="209">
        <v>0</v>
      </c>
      <c r="G732" s="242">
        <v>0</v>
      </c>
      <c r="H732" s="239"/>
      <c r="I732" s="239"/>
      <c r="J732" s="210">
        <v>0</v>
      </c>
      <c r="K732" s="209">
        <v>0</v>
      </c>
      <c r="L732" s="209">
        <v>0</v>
      </c>
      <c r="M732" s="209">
        <v>0</v>
      </c>
      <c r="N732" s="242">
        <v>0</v>
      </c>
      <c r="O732" s="239"/>
    </row>
    <row r="733" spans="1:15" ht="23" x14ac:dyDescent="0.35">
      <c r="A733" s="211" t="s">
        <v>1548</v>
      </c>
      <c r="B733" s="211" t="s">
        <v>1549</v>
      </c>
      <c r="C733" s="209">
        <v>0</v>
      </c>
      <c r="D733" s="209">
        <v>0</v>
      </c>
      <c r="E733" s="209">
        <v>0</v>
      </c>
      <c r="F733" s="209">
        <v>0</v>
      </c>
      <c r="G733" s="242">
        <v>0</v>
      </c>
      <c r="H733" s="239"/>
      <c r="I733" s="239"/>
      <c r="J733" s="210">
        <v>0</v>
      </c>
      <c r="K733" s="209">
        <v>0</v>
      </c>
      <c r="L733" s="209">
        <v>0</v>
      </c>
      <c r="M733" s="209">
        <v>0</v>
      </c>
      <c r="N733" s="242">
        <v>0</v>
      </c>
      <c r="O733" s="239"/>
    </row>
    <row r="734" spans="1:15" ht="34.5" x14ac:dyDescent="0.35">
      <c r="A734" s="211" t="s">
        <v>1550</v>
      </c>
      <c r="B734" s="211" t="s">
        <v>1551</v>
      </c>
      <c r="C734" s="209">
        <v>0</v>
      </c>
      <c r="D734" s="209">
        <v>0</v>
      </c>
      <c r="E734" s="209">
        <v>0</v>
      </c>
      <c r="F734" s="209">
        <v>0</v>
      </c>
      <c r="G734" s="242">
        <v>0</v>
      </c>
      <c r="H734" s="239"/>
      <c r="I734" s="239"/>
      <c r="J734" s="210">
        <v>0</v>
      </c>
      <c r="K734" s="209">
        <v>0</v>
      </c>
      <c r="L734" s="209">
        <v>0</v>
      </c>
      <c r="M734" s="209">
        <v>0</v>
      </c>
      <c r="N734" s="242">
        <v>0</v>
      </c>
      <c r="O734" s="239"/>
    </row>
    <row r="735" spans="1:15" ht="34.5" x14ac:dyDescent="0.35">
      <c r="A735" s="211" t="s">
        <v>1552</v>
      </c>
      <c r="B735" s="211" t="s">
        <v>1553</v>
      </c>
      <c r="C735" s="209">
        <v>0</v>
      </c>
      <c r="D735" s="209">
        <v>0</v>
      </c>
      <c r="E735" s="209">
        <v>0</v>
      </c>
      <c r="F735" s="209">
        <v>0</v>
      </c>
      <c r="G735" s="242">
        <v>0</v>
      </c>
      <c r="H735" s="239"/>
      <c r="I735" s="239"/>
      <c r="J735" s="210">
        <v>0</v>
      </c>
      <c r="K735" s="209">
        <v>0</v>
      </c>
      <c r="L735" s="209">
        <v>0</v>
      </c>
      <c r="M735" s="209">
        <v>0</v>
      </c>
      <c r="N735" s="242">
        <v>0</v>
      </c>
      <c r="O735" s="239"/>
    </row>
    <row r="736" spans="1:15" ht="23" x14ac:dyDescent="0.35">
      <c r="A736" s="211" t="s">
        <v>1554</v>
      </c>
      <c r="B736" s="211" t="s">
        <v>1555</v>
      </c>
      <c r="C736" s="209">
        <v>0</v>
      </c>
      <c r="D736" s="209">
        <v>0</v>
      </c>
      <c r="E736" s="209">
        <v>0</v>
      </c>
      <c r="F736" s="209">
        <v>0</v>
      </c>
      <c r="G736" s="242">
        <v>0</v>
      </c>
      <c r="H736" s="239"/>
      <c r="I736" s="239"/>
      <c r="J736" s="210">
        <v>0</v>
      </c>
      <c r="K736" s="209">
        <v>0</v>
      </c>
      <c r="L736" s="209">
        <v>0</v>
      </c>
      <c r="M736" s="209">
        <v>0</v>
      </c>
      <c r="N736" s="242">
        <v>0</v>
      </c>
      <c r="O736" s="239"/>
    </row>
    <row r="737" spans="1:15" ht="23" x14ac:dyDescent="0.35">
      <c r="A737" s="211" t="s">
        <v>1556</v>
      </c>
      <c r="B737" s="211" t="s">
        <v>1557</v>
      </c>
      <c r="C737" s="209">
        <v>0</v>
      </c>
      <c r="D737" s="209">
        <v>0</v>
      </c>
      <c r="E737" s="209">
        <v>0</v>
      </c>
      <c r="F737" s="209">
        <v>0</v>
      </c>
      <c r="G737" s="242">
        <v>0</v>
      </c>
      <c r="H737" s="239"/>
      <c r="I737" s="239"/>
      <c r="J737" s="210">
        <v>0</v>
      </c>
      <c r="K737" s="209">
        <v>0</v>
      </c>
      <c r="L737" s="209">
        <v>0</v>
      </c>
      <c r="M737" s="209">
        <v>0</v>
      </c>
      <c r="N737" s="242">
        <v>0</v>
      </c>
      <c r="O737" s="239"/>
    </row>
    <row r="738" spans="1:15" ht="23" x14ac:dyDescent="0.35">
      <c r="A738" s="211" t="s">
        <v>1558</v>
      </c>
      <c r="B738" s="211" t="s">
        <v>1559</v>
      </c>
      <c r="C738" s="209">
        <v>0</v>
      </c>
      <c r="D738" s="209">
        <v>0</v>
      </c>
      <c r="E738" s="209">
        <v>0</v>
      </c>
      <c r="F738" s="209">
        <v>0</v>
      </c>
      <c r="G738" s="242">
        <v>0</v>
      </c>
      <c r="H738" s="239"/>
      <c r="I738" s="239"/>
      <c r="J738" s="210">
        <v>0</v>
      </c>
      <c r="K738" s="209">
        <v>0</v>
      </c>
      <c r="L738" s="209">
        <v>0</v>
      </c>
      <c r="M738" s="209">
        <v>0</v>
      </c>
      <c r="N738" s="242">
        <v>0</v>
      </c>
      <c r="O738" s="239"/>
    </row>
    <row r="739" spans="1:15" x14ac:dyDescent="0.35">
      <c r="A739" s="211" t="s">
        <v>1560</v>
      </c>
      <c r="B739" s="211" t="s">
        <v>1561</v>
      </c>
      <c r="C739" s="209">
        <v>325229.82</v>
      </c>
      <c r="D739" s="209">
        <v>0</v>
      </c>
      <c r="E739" s="209">
        <v>0</v>
      </c>
      <c r="F739" s="209">
        <v>325229.82</v>
      </c>
      <c r="G739" s="242">
        <v>-325229.82</v>
      </c>
      <c r="H739" s="239"/>
      <c r="I739" s="239"/>
      <c r="J739" s="210">
        <v>0</v>
      </c>
      <c r="K739" s="209">
        <v>0</v>
      </c>
      <c r="L739" s="209">
        <v>-325229.82</v>
      </c>
      <c r="M739" s="209">
        <v>0</v>
      </c>
      <c r="N739" s="242">
        <v>0</v>
      </c>
      <c r="O739" s="239"/>
    </row>
    <row r="740" spans="1:15" ht="23" x14ac:dyDescent="0.35">
      <c r="A740" s="211" t="s">
        <v>1562</v>
      </c>
      <c r="B740" s="211" t="s">
        <v>1563</v>
      </c>
      <c r="C740" s="209">
        <v>0</v>
      </c>
      <c r="D740" s="209">
        <v>0</v>
      </c>
      <c r="E740" s="209">
        <v>0</v>
      </c>
      <c r="F740" s="209">
        <v>0</v>
      </c>
      <c r="G740" s="242">
        <v>0</v>
      </c>
      <c r="H740" s="239"/>
      <c r="I740" s="239"/>
      <c r="J740" s="210">
        <v>0</v>
      </c>
      <c r="K740" s="209">
        <v>0</v>
      </c>
      <c r="L740" s="209">
        <v>0</v>
      </c>
      <c r="M740" s="209">
        <v>0</v>
      </c>
      <c r="N740" s="242">
        <v>0</v>
      </c>
      <c r="O740" s="239"/>
    </row>
    <row r="741" spans="1:15" ht="23" x14ac:dyDescent="0.35">
      <c r="A741" s="211" t="s">
        <v>1564</v>
      </c>
      <c r="B741" s="211" t="s">
        <v>1565</v>
      </c>
      <c r="C741" s="209">
        <v>0</v>
      </c>
      <c r="D741" s="209">
        <v>0</v>
      </c>
      <c r="E741" s="209">
        <v>0</v>
      </c>
      <c r="F741" s="209">
        <v>0</v>
      </c>
      <c r="G741" s="242">
        <v>0</v>
      </c>
      <c r="H741" s="239"/>
      <c r="I741" s="239"/>
      <c r="J741" s="210">
        <v>0</v>
      </c>
      <c r="K741" s="209">
        <v>0</v>
      </c>
      <c r="L741" s="209">
        <v>0</v>
      </c>
      <c r="M741" s="209">
        <v>0</v>
      </c>
      <c r="N741" s="242">
        <v>0</v>
      </c>
      <c r="O741" s="239"/>
    </row>
    <row r="742" spans="1:15" ht="23" x14ac:dyDescent="0.35">
      <c r="A742" s="211" t="s">
        <v>1566</v>
      </c>
      <c r="B742" s="211" t="s">
        <v>1567</v>
      </c>
      <c r="C742" s="209">
        <v>0</v>
      </c>
      <c r="D742" s="209">
        <v>0</v>
      </c>
      <c r="E742" s="209">
        <v>0</v>
      </c>
      <c r="F742" s="209">
        <v>0</v>
      </c>
      <c r="G742" s="242">
        <v>0</v>
      </c>
      <c r="H742" s="239"/>
      <c r="I742" s="239"/>
      <c r="J742" s="210">
        <v>0</v>
      </c>
      <c r="K742" s="209">
        <v>0</v>
      </c>
      <c r="L742" s="209">
        <v>0</v>
      </c>
      <c r="M742" s="209">
        <v>0</v>
      </c>
      <c r="N742" s="242">
        <v>0</v>
      </c>
      <c r="O742" s="239"/>
    </row>
    <row r="743" spans="1:15" ht="23" x14ac:dyDescent="0.35">
      <c r="A743" s="211" t="s">
        <v>1568</v>
      </c>
      <c r="B743" s="211" t="s">
        <v>1487</v>
      </c>
      <c r="C743" s="209">
        <v>4003723.5</v>
      </c>
      <c r="D743" s="209">
        <v>0</v>
      </c>
      <c r="E743" s="209">
        <v>0</v>
      </c>
      <c r="F743" s="209">
        <v>4003723.5</v>
      </c>
      <c r="G743" s="242">
        <v>-4003723.5</v>
      </c>
      <c r="H743" s="239"/>
      <c r="I743" s="239"/>
      <c r="J743" s="210">
        <v>0</v>
      </c>
      <c r="K743" s="209">
        <v>0</v>
      </c>
      <c r="L743" s="209">
        <v>-4003723.5</v>
      </c>
      <c r="M743" s="209">
        <v>0</v>
      </c>
      <c r="N743" s="242">
        <v>0</v>
      </c>
      <c r="O743" s="239"/>
    </row>
    <row r="744" spans="1:15" ht="23" x14ac:dyDescent="0.35">
      <c r="A744" s="211" t="s">
        <v>1569</v>
      </c>
      <c r="B744" s="211" t="s">
        <v>1570</v>
      </c>
      <c r="C744" s="209">
        <v>0</v>
      </c>
      <c r="D744" s="209">
        <v>0</v>
      </c>
      <c r="E744" s="209">
        <v>0</v>
      </c>
      <c r="F744" s="209">
        <v>0</v>
      </c>
      <c r="G744" s="242">
        <v>0</v>
      </c>
      <c r="H744" s="239"/>
      <c r="I744" s="239"/>
      <c r="J744" s="210">
        <v>0</v>
      </c>
      <c r="K744" s="209">
        <v>0</v>
      </c>
      <c r="L744" s="209">
        <v>0</v>
      </c>
      <c r="M744" s="209">
        <v>0</v>
      </c>
      <c r="N744" s="242">
        <v>0</v>
      </c>
      <c r="O744" s="239"/>
    </row>
    <row r="745" spans="1:15" ht="23" x14ac:dyDescent="0.35">
      <c r="A745" s="211" t="s">
        <v>1571</v>
      </c>
      <c r="B745" s="211" t="s">
        <v>1572</v>
      </c>
      <c r="C745" s="209">
        <v>0</v>
      </c>
      <c r="D745" s="209">
        <v>0</v>
      </c>
      <c r="E745" s="209">
        <v>0</v>
      </c>
      <c r="F745" s="209">
        <v>0</v>
      </c>
      <c r="G745" s="242">
        <v>0</v>
      </c>
      <c r="H745" s="239"/>
      <c r="I745" s="239"/>
      <c r="J745" s="210">
        <v>0</v>
      </c>
      <c r="K745" s="209">
        <v>0</v>
      </c>
      <c r="L745" s="209">
        <v>0</v>
      </c>
      <c r="M745" s="209">
        <v>0</v>
      </c>
      <c r="N745" s="242">
        <v>0</v>
      </c>
      <c r="O745" s="239"/>
    </row>
    <row r="746" spans="1:15" x14ac:dyDescent="0.35">
      <c r="A746" s="211" t="s">
        <v>1573</v>
      </c>
      <c r="B746" s="211" t="s">
        <v>1574</v>
      </c>
      <c r="C746" s="209">
        <v>871304.98</v>
      </c>
      <c r="D746" s="209">
        <v>0</v>
      </c>
      <c r="E746" s="209">
        <v>0</v>
      </c>
      <c r="F746" s="209">
        <v>871304.98</v>
      </c>
      <c r="G746" s="242">
        <v>-871304.98</v>
      </c>
      <c r="H746" s="239"/>
      <c r="I746" s="239"/>
      <c r="J746" s="210">
        <v>0</v>
      </c>
      <c r="K746" s="209">
        <v>0</v>
      </c>
      <c r="L746" s="209">
        <v>-871304.98</v>
      </c>
      <c r="M746" s="209">
        <v>0</v>
      </c>
      <c r="N746" s="242">
        <v>0</v>
      </c>
      <c r="O746" s="239"/>
    </row>
    <row r="747" spans="1:15" ht="23" x14ac:dyDescent="0.35">
      <c r="A747" s="211" t="s">
        <v>1575</v>
      </c>
      <c r="B747" s="211" t="s">
        <v>1576</v>
      </c>
      <c r="C747" s="209">
        <v>0</v>
      </c>
      <c r="D747" s="209">
        <v>0</v>
      </c>
      <c r="E747" s="209">
        <v>0</v>
      </c>
      <c r="F747" s="209">
        <v>0</v>
      </c>
      <c r="G747" s="242">
        <v>0</v>
      </c>
      <c r="H747" s="239"/>
      <c r="I747" s="239"/>
      <c r="J747" s="210">
        <v>0</v>
      </c>
      <c r="K747" s="209">
        <v>0</v>
      </c>
      <c r="L747" s="209">
        <v>0</v>
      </c>
      <c r="M747" s="209">
        <v>0</v>
      </c>
      <c r="N747" s="242">
        <v>0</v>
      </c>
      <c r="O747" s="239"/>
    </row>
    <row r="748" spans="1:15" ht="23" x14ac:dyDescent="0.35">
      <c r="A748" s="211" t="s">
        <v>1577</v>
      </c>
      <c r="B748" s="211" t="s">
        <v>1578</v>
      </c>
      <c r="C748" s="209">
        <v>0</v>
      </c>
      <c r="D748" s="209">
        <v>0</v>
      </c>
      <c r="E748" s="209">
        <v>0</v>
      </c>
      <c r="F748" s="209">
        <v>0</v>
      </c>
      <c r="G748" s="242">
        <v>0</v>
      </c>
      <c r="H748" s="239"/>
      <c r="I748" s="239"/>
      <c r="J748" s="210">
        <v>0</v>
      </c>
      <c r="K748" s="209">
        <v>0</v>
      </c>
      <c r="L748" s="209">
        <v>0</v>
      </c>
      <c r="M748" s="209">
        <v>0</v>
      </c>
      <c r="N748" s="242">
        <v>0</v>
      </c>
      <c r="O748" s="239"/>
    </row>
    <row r="749" spans="1:15" ht="23" x14ac:dyDescent="0.35">
      <c r="A749" s="211" t="s">
        <v>1579</v>
      </c>
      <c r="B749" s="211" t="s">
        <v>1580</v>
      </c>
      <c r="C749" s="209">
        <v>0</v>
      </c>
      <c r="D749" s="209">
        <v>0</v>
      </c>
      <c r="E749" s="209">
        <v>0</v>
      </c>
      <c r="F749" s="209">
        <v>0</v>
      </c>
      <c r="G749" s="242">
        <v>0</v>
      </c>
      <c r="H749" s="239"/>
      <c r="I749" s="239"/>
      <c r="J749" s="210">
        <v>0</v>
      </c>
      <c r="K749" s="209">
        <v>0</v>
      </c>
      <c r="L749" s="209">
        <v>0</v>
      </c>
      <c r="M749" s="209">
        <v>0</v>
      </c>
      <c r="N749" s="242">
        <v>0</v>
      </c>
      <c r="O749" s="239"/>
    </row>
    <row r="750" spans="1:15" ht="23" x14ac:dyDescent="0.35">
      <c r="A750" s="211" t="s">
        <v>1581</v>
      </c>
      <c r="B750" s="211" t="s">
        <v>1582</v>
      </c>
      <c r="C750" s="209">
        <v>0</v>
      </c>
      <c r="D750" s="209">
        <v>0</v>
      </c>
      <c r="E750" s="209">
        <v>0</v>
      </c>
      <c r="F750" s="209">
        <v>0</v>
      </c>
      <c r="G750" s="242">
        <v>0</v>
      </c>
      <c r="H750" s="239"/>
      <c r="I750" s="239"/>
      <c r="J750" s="210">
        <v>0</v>
      </c>
      <c r="K750" s="209">
        <v>0</v>
      </c>
      <c r="L750" s="209">
        <v>0</v>
      </c>
      <c r="M750" s="209">
        <v>0</v>
      </c>
      <c r="N750" s="242">
        <v>0</v>
      </c>
      <c r="O750" s="239"/>
    </row>
    <row r="751" spans="1:15" ht="23" x14ac:dyDescent="0.35">
      <c r="A751" s="211" t="s">
        <v>1583</v>
      </c>
      <c r="B751" s="211" t="s">
        <v>1584</v>
      </c>
      <c r="C751" s="209">
        <v>0</v>
      </c>
      <c r="D751" s="209">
        <v>0</v>
      </c>
      <c r="E751" s="209">
        <v>0</v>
      </c>
      <c r="F751" s="209">
        <v>0</v>
      </c>
      <c r="G751" s="242">
        <v>0</v>
      </c>
      <c r="H751" s="239"/>
      <c r="I751" s="239"/>
      <c r="J751" s="210">
        <v>0</v>
      </c>
      <c r="K751" s="209">
        <v>0</v>
      </c>
      <c r="L751" s="209">
        <v>0</v>
      </c>
      <c r="M751" s="209">
        <v>0</v>
      </c>
      <c r="N751" s="242">
        <v>0</v>
      </c>
      <c r="O751" s="239"/>
    </row>
    <row r="752" spans="1:15" ht="23" x14ac:dyDescent="0.35">
      <c r="A752" s="211" t="s">
        <v>1585</v>
      </c>
      <c r="B752" s="211" t="s">
        <v>1586</v>
      </c>
      <c r="C752" s="209">
        <v>316686.40000000002</v>
      </c>
      <c r="D752" s="209">
        <v>0</v>
      </c>
      <c r="E752" s="209">
        <v>0</v>
      </c>
      <c r="F752" s="209">
        <v>316686.40000000002</v>
      </c>
      <c r="G752" s="242">
        <v>-316686.40000000002</v>
      </c>
      <c r="H752" s="239"/>
      <c r="I752" s="239"/>
      <c r="J752" s="210">
        <v>0</v>
      </c>
      <c r="K752" s="209">
        <v>0</v>
      </c>
      <c r="L752" s="209">
        <v>-316686.40000000002</v>
      </c>
      <c r="M752" s="209">
        <v>0</v>
      </c>
      <c r="N752" s="242">
        <v>0</v>
      </c>
      <c r="O752" s="239"/>
    </row>
    <row r="753" spans="1:15" ht="23" x14ac:dyDescent="0.35">
      <c r="A753" s="211" t="s">
        <v>1587</v>
      </c>
      <c r="B753" s="211" t="s">
        <v>1588</v>
      </c>
      <c r="C753" s="209">
        <v>0</v>
      </c>
      <c r="D753" s="209">
        <v>0</v>
      </c>
      <c r="E753" s="209">
        <v>0</v>
      </c>
      <c r="F753" s="209">
        <v>0</v>
      </c>
      <c r="G753" s="242">
        <v>0</v>
      </c>
      <c r="H753" s="239"/>
      <c r="I753" s="239"/>
      <c r="J753" s="210">
        <v>0</v>
      </c>
      <c r="K753" s="209">
        <v>0</v>
      </c>
      <c r="L753" s="209">
        <v>0</v>
      </c>
      <c r="M753" s="209">
        <v>0</v>
      </c>
      <c r="N753" s="242">
        <v>0</v>
      </c>
      <c r="O753" s="239"/>
    </row>
    <row r="754" spans="1:15" ht="34.5" x14ac:dyDescent="0.35">
      <c r="A754" s="211" t="s">
        <v>1589</v>
      </c>
      <c r="B754" s="211" t="s">
        <v>1590</v>
      </c>
      <c r="C754" s="209">
        <v>0</v>
      </c>
      <c r="D754" s="209">
        <v>0</v>
      </c>
      <c r="E754" s="209">
        <v>0</v>
      </c>
      <c r="F754" s="209">
        <v>0</v>
      </c>
      <c r="G754" s="242">
        <v>0</v>
      </c>
      <c r="H754" s="239"/>
      <c r="I754" s="239"/>
      <c r="J754" s="210">
        <v>0</v>
      </c>
      <c r="K754" s="209">
        <v>0</v>
      </c>
      <c r="L754" s="209">
        <v>0</v>
      </c>
      <c r="M754" s="209">
        <v>0</v>
      </c>
      <c r="N754" s="242">
        <v>0</v>
      </c>
      <c r="O754" s="239"/>
    </row>
    <row r="755" spans="1:15" ht="23" x14ac:dyDescent="0.35">
      <c r="A755" s="211" t="s">
        <v>1591</v>
      </c>
      <c r="B755" s="211" t="s">
        <v>1592</v>
      </c>
      <c r="C755" s="209">
        <v>282742.02</v>
      </c>
      <c r="D755" s="209">
        <v>0</v>
      </c>
      <c r="E755" s="209">
        <v>0</v>
      </c>
      <c r="F755" s="209">
        <v>282742.02</v>
      </c>
      <c r="G755" s="242">
        <v>-282742.02</v>
      </c>
      <c r="H755" s="239"/>
      <c r="I755" s="239"/>
      <c r="J755" s="210">
        <v>0</v>
      </c>
      <c r="K755" s="209">
        <v>0</v>
      </c>
      <c r="L755" s="209">
        <v>-282742.02</v>
      </c>
      <c r="M755" s="209">
        <v>0</v>
      </c>
      <c r="N755" s="242">
        <v>0</v>
      </c>
      <c r="O755" s="239"/>
    </row>
    <row r="756" spans="1:15" ht="34.5" x14ac:dyDescent="0.35">
      <c r="A756" s="211" t="s">
        <v>1593</v>
      </c>
      <c r="B756" s="211" t="s">
        <v>1594</v>
      </c>
      <c r="C756" s="209">
        <v>0</v>
      </c>
      <c r="D756" s="209">
        <v>0</v>
      </c>
      <c r="E756" s="209">
        <v>0</v>
      </c>
      <c r="F756" s="209">
        <v>0</v>
      </c>
      <c r="G756" s="242">
        <v>0</v>
      </c>
      <c r="H756" s="239"/>
      <c r="I756" s="239"/>
      <c r="J756" s="210">
        <v>0</v>
      </c>
      <c r="K756" s="209">
        <v>0</v>
      </c>
      <c r="L756" s="209">
        <v>0</v>
      </c>
      <c r="M756" s="209">
        <v>0</v>
      </c>
      <c r="N756" s="242">
        <v>0</v>
      </c>
      <c r="O756" s="239"/>
    </row>
    <row r="757" spans="1:15" ht="23" x14ac:dyDescent="0.35">
      <c r="A757" s="211" t="s">
        <v>1595</v>
      </c>
      <c r="B757" s="211" t="s">
        <v>1596</v>
      </c>
      <c r="C757" s="209">
        <v>0</v>
      </c>
      <c r="D757" s="209">
        <v>0</v>
      </c>
      <c r="E757" s="209">
        <v>0</v>
      </c>
      <c r="F757" s="209">
        <v>0</v>
      </c>
      <c r="G757" s="242">
        <v>0</v>
      </c>
      <c r="H757" s="239"/>
      <c r="I757" s="239"/>
      <c r="J757" s="210">
        <v>0</v>
      </c>
      <c r="K757" s="209">
        <v>0</v>
      </c>
      <c r="L757" s="209">
        <v>0</v>
      </c>
      <c r="M757" s="209">
        <v>0</v>
      </c>
      <c r="N757" s="242">
        <v>0</v>
      </c>
      <c r="O757" s="239"/>
    </row>
    <row r="758" spans="1:15" ht="23" x14ac:dyDescent="0.35">
      <c r="A758" s="211" t="s">
        <v>1597</v>
      </c>
      <c r="B758" s="211" t="s">
        <v>1598</v>
      </c>
      <c r="C758" s="209">
        <v>237255.22</v>
      </c>
      <c r="D758" s="209">
        <v>0</v>
      </c>
      <c r="E758" s="209">
        <v>0</v>
      </c>
      <c r="F758" s="209">
        <v>237255.22</v>
      </c>
      <c r="G758" s="242">
        <v>-237255.22</v>
      </c>
      <c r="H758" s="239"/>
      <c r="I758" s="239"/>
      <c r="J758" s="210">
        <v>0</v>
      </c>
      <c r="K758" s="209">
        <v>0</v>
      </c>
      <c r="L758" s="209">
        <v>-237255.22</v>
      </c>
      <c r="M758" s="209">
        <v>0</v>
      </c>
      <c r="N758" s="242">
        <v>0</v>
      </c>
      <c r="O758" s="239"/>
    </row>
    <row r="759" spans="1:15" ht="34.5" x14ac:dyDescent="0.35">
      <c r="A759" s="211" t="s">
        <v>1599</v>
      </c>
      <c r="B759" s="211" t="s">
        <v>1600</v>
      </c>
      <c r="C759" s="209">
        <v>0</v>
      </c>
      <c r="D759" s="209">
        <v>0</v>
      </c>
      <c r="E759" s="209">
        <v>0</v>
      </c>
      <c r="F759" s="209">
        <v>0</v>
      </c>
      <c r="G759" s="242">
        <v>0</v>
      </c>
      <c r="H759" s="239"/>
      <c r="I759" s="239"/>
      <c r="J759" s="210">
        <v>0</v>
      </c>
      <c r="K759" s="209">
        <v>0</v>
      </c>
      <c r="L759" s="209">
        <v>0</v>
      </c>
      <c r="M759" s="209">
        <v>0</v>
      </c>
      <c r="N759" s="242">
        <v>0</v>
      </c>
      <c r="O759" s="239"/>
    </row>
    <row r="760" spans="1:15" ht="23" x14ac:dyDescent="0.35">
      <c r="A760" s="211" t="s">
        <v>1601</v>
      </c>
      <c r="B760" s="211" t="s">
        <v>1602</v>
      </c>
      <c r="C760" s="209">
        <v>0</v>
      </c>
      <c r="D760" s="209">
        <v>0</v>
      </c>
      <c r="E760" s="209">
        <v>0</v>
      </c>
      <c r="F760" s="209">
        <v>0</v>
      </c>
      <c r="G760" s="242">
        <v>0</v>
      </c>
      <c r="H760" s="239"/>
      <c r="I760" s="239"/>
      <c r="J760" s="210">
        <v>0</v>
      </c>
      <c r="K760" s="209">
        <v>0</v>
      </c>
      <c r="L760" s="209">
        <v>0</v>
      </c>
      <c r="M760" s="209">
        <v>0</v>
      </c>
      <c r="N760" s="242">
        <v>0</v>
      </c>
      <c r="O760" s="239"/>
    </row>
    <row r="761" spans="1:15" ht="23" x14ac:dyDescent="0.35">
      <c r="A761" s="211" t="s">
        <v>1603</v>
      </c>
      <c r="B761" s="211" t="s">
        <v>1604</v>
      </c>
      <c r="C761" s="209">
        <v>610866.67000000004</v>
      </c>
      <c r="D761" s="209">
        <v>0</v>
      </c>
      <c r="E761" s="209">
        <v>0</v>
      </c>
      <c r="F761" s="209">
        <v>610866.67000000004</v>
      </c>
      <c r="G761" s="242">
        <v>-610866.67000000004</v>
      </c>
      <c r="H761" s="239"/>
      <c r="I761" s="239"/>
      <c r="J761" s="210">
        <v>0</v>
      </c>
      <c r="K761" s="209">
        <v>0</v>
      </c>
      <c r="L761" s="209">
        <v>-610866.67000000004</v>
      </c>
      <c r="M761" s="209">
        <v>0</v>
      </c>
      <c r="N761" s="242">
        <v>0</v>
      </c>
      <c r="O761" s="239"/>
    </row>
    <row r="762" spans="1:15" ht="23" x14ac:dyDescent="0.35">
      <c r="A762" s="211" t="s">
        <v>1605</v>
      </c>
      <c r="B762" s="211" t="s">
        <v>1606</v>
      </c>
      <c r="C762" s="209">
        <v>753969.71</v>
      </c>
      <c r="D762" s="209">
        <v>0</v>
      </c>
      <c r="E762" s="209">
        <v>0</v>
      </c>
      <c r="F762" s="209">
        <v>753969.71</v>
      </c>
      <c r="G762" s="242">
        <v>-753969.71</v>
      </c>
      <c r="H762" s="239"/>
      <c r="I762" s="239"/>
      <c r="J762" s="210">
        <v>0</v>
      </c>
      <c r="K762" s="209">
        <v>0</v>
      </c>
      <c r="L762" s="209">
        <v>-753969.71</v>
      </c>
      <c r="M762" s="209">
        <v>0</v>
      </c>
      <c r="N762" s="242">
        <v>0</v>
      </c>
      <c r="O762" s="239"/>
    </row>
    <row r="763" spans="1:15" ht="23" x14ac:dyDescent="0.35">
      <c r="A763" s="211" t="s">
        <v>1607</v>
      </c>
      <c r="B763" s="211" t="s">
        <v>1608</v>
      </c>
      <c r="C763" s="209">
        <v>639996.44999999995</v>
      </c>
      <c r="D763" s="209">
        <v>0</v>
      </c>
      <c r="E763" s="209">
        <v>0</v>
      </c>
      <c r="F763" s="209">
        <v>639996.44999999995</v>
      </c>
      <c r="G763" s="242">
        <v>-639996.44999999995</v>
      </c>
      <c r="H763" s="239"/>
      <c r="I763" s="239"/>
      <c r="J763" s="210">
        <v>0</v>
      </c>
      <c r="K763" s="209">
        <v>0</v>
      </c>
      <c r="L763" s="209">
        <v>-639996.44999999995</v>
      </c>
      <c r="M763" s="209">
        <v>0</v>
      </c>
      <c r="N763" s="242">
        <v>0</v>
      </c>
      <c r="O763" s="239"/>
    </row>
    <row r="764" spans="1:15" ht="34.5" x14ac:dyDescent="0.35">
      <c r="A764" s="211" t="s">
        <v>1609</v>
      </c>
      <c r="B764" s="211" t="s">
        <v>1610</v>
      </c>
      <c r="C764" s="209">
        <v>0</v>
      </c>
      <c r="D764" s="209">
        <v>0</v>
      </c>
      <c r="E764" s="209">
        <v>0</v>
      </c>
      <c r="F764" s="209">
        <v>0</v>
      </c>
      <c r="G764" s="242">
        <v>0</v>
      </c>
      <c r="H764" s="239"/>
      <c r="I764" s="239"/>
      <c r="J764" s="210">
        <v>0</v>
      </c>
      <c r="K764" s="209">
        <v>0</v>
      </c>
      <c r="L764" s="209">
        <v>0</v>
      </c>
      <c r="M764" s="209">
        <v>0</v>
      </c>
      <c r="N764" s="242">
        <v>0</v>
      </c>
      <c r="O764" s="239"/>
    </row>
    <row r="765" spans="1:15" ht="23" x14ac:dyDescent="0.35">
      <c r="A765" s="211" t="s">
        <v>1611</v>
      </c>
      <c r="B765" s="211" t="s">
        <v>1612</v>
      </c>
      <c r="C765" s="209">
        <v>43673</v>
      </c>
      <c r="D765" s="209">
        <v>0</v>
      </c>
      <c r="E765" s="209">
        <v>0</v>
      </c>
      <c r="F765" s="209">
        <v>43673</v>
      </c>
      <c r="G765" s="242">
        <v>-43673</v>
      </c>
      <c r="H765" s="239"/>
      <c r="I765" s="239"/>
      <c r="J765" s="210">
        <v>0</v>
      </c>
      <c r="K765" s="209">
        <v>0</v>
      </c>
      <c r="L765" s="209">
        <v>-43673</v>
      </c>
      <c r="M765" s="209">
        <v>0</v>
      </c>
      <c r="N765" s="242">
        <v>0</v>
      </c>
      <c r="O765" s="239"/>
    </row>
    <row r="766" spans="1:15" ht="23" x14ac:dyDescent="0.35">
      <c r="A766" s="211" t="s">
        <v>1613</v>
      </c>
      <c r="B766" s="211" t="s">
        <v>1614</v>
      </c>
      <c r="C766" s="209">
        <v>53093.55</v>
      </c>
      <c r="D766" s="209">
        <v>0</v>
      </c>
      <c r="E766" s="209">
        <v>0</v>
      </c>
      <c r="F766" s="209">
        <v>53093.55</v>
      </c>
      <c r="G766" s="242">
        <v>-53093.55</v>
      </c>
      <c r="H766" s="239"/>
      <c r="I766" s="239"/>
      <c r="J766" s="210">
        <v>0</v>
      </c>
      <c r="K766" s="209">
        <v>0</v>
      </c>
      <c r="L766" s="209">
        <v>-53093.55</v>
      </c>
      <c r="M766" s="209">
        <v>0</v>
      </c>
      <c r="N766" s="242">
        <v>0</v>
      </c>
      <c r="O766" s="239"/>
    </row>
    <row r="767" spans="1:15" ht="23" x14ac:dyDescent="0.35">
      <c r="A767" s="211" t="s">
        <v>1615</v>
      </c>
      <c r="B767" s="211" t="s">
        <v>1616</v>
      </c>
      <c r="C767" s="209">
        <v>46795.64</v>
      </c>
      <c r="D767" s="209">
        <v>0</v>
      </c>
      <c r="E767" s="209">
        <v>0</v>
      </c>
      <c r="F767" s="209">
        <v>46795.64</v>
      </c>
      <c r="G767" s="242">
        <v>-46795.64</v>
      </c>
      <c r="H767" s="239"/>
      <c r="I767" s="239"/>
      <c r="J767" s="210">
        <v>0</v>
      </c>
      <c r="K767" s="209">
        <v>0</v>
      </c>
      <c r="L767" s="209">
        <v>-46795.64</v>
      </c>
      <c r="M767" s="209">
        <v>0</v>
      </c>
      <c r="N767" s="242">
        <v>0</v>
      </c>
      <c r="O767" s="239"/>
    </row>
    <row r="768" spans="1:15" ht="34.5" x14ac:dyDescent="0.35">
      <c r="A768" s="211" t="s">
        <v>1617</v>
      </c>
      <c r="B768" s="211" t="s">
        <v>1618</v>
      </c>
      <c r="C768" s="209">
        <v>30563.33</v>
      </c>
      <c r="D768" s="209">
        <v>0</v>
      </c>
      <c r="E768" s="209">
        <v>0</v>
      </c>
      <c r="F768" s="209">
        <v>30563.33</v>
      </c>
      <c r="G768" s="242">
        <v>-30563.33</v>
      </c>
      <c r="H768" s="239"/>
      <c r="I768" s="239"/>
      <c r="J768" s="210">
        <v>0</v>
      </c>
      <c r="K768" s="209">
        <v>0</v>
      </c>
      <c r="L768" s="209">
        <v>-30563.33</v>
      </c>
      <c r="M768" s="209">
        <v>0</v>
      </c>
      <c r="N768" s="242">
        <v>0</v>
      </c>
      <c r="O768" s="239"/>
    </row>
    <row r="769" spans="1:15" ht="23" x14ac:dyDescent="0.35">
      <c r="A769" s="211" t="s">
        <v>1619</v>
      </c>
      <c r="B769" s="211" t="s">
        <v>1620</v>
      </c>
      <c r="C769" s="209">
        <v>1850609.24</v>
      </c>
      <c r="D769" s="209">
        <v>0</v>
      </c>
      <c r="E769" s="209">
        <v>0</v>
      </c>
      <c r="F769" s="209">
        <v>1850609.24</v>
      </c>
      <c r="G769" s="242">
        <v>-1657469.52</v>
      </c>
      <c r="H769" s="239"/>
      <c r="I769" s="239"/>
      <c r="J769" s="210">
        <v>-96570</v>
      </c>
      <c r="K769" s="209">
        <v>0</v>
      </c>
      <c r="L769" s="209">
        <v>-1754039.52</v>
      </c>
      <c r="M769" s="209">
        <v>193139.72</v>
      </c>
      <c r="N769" s="242">
        <v>96569.72</v>
      </c>
      <c r="O769" s="239"/>
    </row>
    <row r="770" spans="1:15" ht="34.5" x14ac:dyDescent="0.35">
      <c r="A770" s="211" t="s">
        <v>1621</v>
      </c>
      <c r="B770" s="211" t="s">
        <v>1622</v>
      </c>
      <c r="C770" s="209">
        <v>2134240.5</v>
      </c>
      <c r="D770" s="209">
        <v>0</v>
      </c>
      <c r="E770" s="209">
        <v>0</v>
      </c>
      <c r="F770" s="209">
        <v>2134240.5</v>
      </c>
      <c r="G770" s="242">
        <v>-2134240.5</v>
      </c>
      <c r="H770" s="239"/>
      <c r="I770" s="239"/>
      <c r="J770" s="210">
        <v>0</v>
      </c>
      <c r="K770" s="209">
        <v>0</v>
      </c>
      <c r="L770" s="209">
        <v>-2134240.5</v>
      </c>
      <c r="M770" s="209">
        <v>0</v>
      </c>
      <c r="N770" s="242">
        <v>0</v>
      </c>
      <c r="O770" s="239"/>
    </row>
    <row r="771" spans="1:15" ht="23" x14ac:dyDescent="0.35">
      <c r="A771" s="211" t="s">
        <v>1623</v>
      </c>
      <c r="B771" s="211" t="s">
        <v>1624</v>
      </c>
      <c r="C771" s="209">
        <v>35979.300000000003</v>
      </c>
      <c r="D771" s="209">
        <v>0</v>
      </c>
      <c r="E771" s="209">
        <v>0</v>
      </c>
      <c r="F771" s="209">
        <v>35979.300000000003</v>
      </c>
      <c r="G771" s="242">
        <v>-35979.300000000003</v>
      </c>
      <c r="H771" s="239"/>
      <c r="I771" s="239"/>
      <c r="J771" s="210">
        <v>0</v>
      </c>
      <c r="K771" s="209">
        <v>0</v>
      </c>
      <c r="L771" s="209">
        <v>-35979.300000000003</v>
      </c>
      <c r="M771" s="209">
        <v>0</v>
      </c>
      <c r="N771" s="242">
        <v>0</v>
      </c>
      <c r="O771" s="239"/>
    </row>
    <row r="772" spans="1:15" ht="23" x14ac:dyDescent="0.35">
      <c r="A772" s="211" t="s">
        <v>1625</v>
      </c>
      <c r="B772" s="211" t="s">
        <v>1626</v>
      </c>
      <c r="C772" s="209">
        <v>204504.25</v>
      </c>
      <c r="D772" s="209">
        <v>0</v>
      </c>
      <c r="E772" s="209">
        <v>0</v>
      </c>
      <c r="F772" s="209">
        <v>204504.25</v>
      </c>
      <c r="G772" s="242">
        <v>-204504.25</v>
      </c>
      <c r="H772" s="239"/>
      <c r="I772" s="239"/>
      <c r="J772" s="210">
        <v>0</v>
      </c>
      <c r="K772" s="209">
        <v>0</v>
      </c>
      <c r="L772" s="209">
        <v>-204504.25</v>
      </c>
      <c r="M772" s="209">
        <v>0</v>
      </c>
      <c r="N772" s="242">
        <v>0</v>
      </c>
      <c r="O772" s="239"/>
    </row>
    <row r="773" spans="1:15" ht="23" x14ac:dyDescent="0.35">
      <c r="A773" s="211" t="s">
        <v>1627</v>
      </c>
      <c r="B773" s="211" t="s">
        <v>1628</v>
      </c>
      <c r="C773" s="209">
        <v>729990.9</v>
      </c>
      <c r="D773" s="209">
        <v>0</v>
      </c>
      <c r="E773" s="209">
        <v>0</v>
      </c>
      <c r="F773" s="209">
        <v>729990.9</v>
      </c>
      <c r="G773" s="242">
        <v>-729990.9</v>
      </c>
      <c r="H773" s="239"/>
      <c r="I773" s="239"/>
      <c r="J773" s="210">
        <v>0</v>
      </c>
      <c r="K773" s="209">
        <v>0</v>
      </c>
      <c r="L773" s="209">
        <v>-729990.9</v>
      </c>
      <c r="M773" s="209">
        <v>0</v>
      </c>
      <c r="N773" s="242">
        <v>0</v>
      </c>
      <c r="O773" s="239"/>
    </row>
    <row r="774" spans="1:15" ht="34.5" x14ac:dyDescent="0.35">
      <c r="A774" s="211" t="s">
        <v>1629</v>
      </c>
      <c r="B774" s="211" t="s">
        <v>1630</v>
      </c>
      <c r="C774" s="209">
        <v>360725.87</v>
      </c>
      <c r="D774" s="209">
        <v>0</v>
      </c>
      <c r="E774" s="209">
        <v>0</v>
      </c>
      <c r="F774" s="209">
        <v>360725.87</v>
      </c>
      <c r="G774" s="242">
        <v>-360725.87</v>
      </c>
      <c r="H774" s="239"/>
      <c r="I774" s="239"/>
      <c r="J774" s="210">
        <v>0</v>
      </c>
      <c r="K774" s="209">
        <v>0</v>
      </c>
      <c r="L774" s="209">
        <v>-360725.87</v>
      </c>
      <c r="M774" s="209">
        <v>0</v>
      </c>
      <c r="N774" s="242">
        <v>0</v>
      </c>
      <c r="O774" s="239"/>
    </row>
    <row r="775" spans="1:15" ht="23" x14ac:dyDescent="0.35">
      <c r="A775" s="211" t="s">
        <v>1631</v>
      </c>
      <c r="B775" s="211" t="s">
        <v>1632</v>
      </c>
      <c r="C775" s="209">
        <v>52842.8</v>
      </c>
      <c r="D775" s="209">
        <v>0</v>
      </c>
      <c r="E775" s="209">
        <v>0</v>
      </c>
      <c r="F775" s="209">
        <v>52842.8</v>
      </c>
      <c r="G775" s="242">
        <v>-52842.8</v>
      </c>
      <c r="H775" s="239"/>
      <c r="I775" s="239"/>
      <c r="J775" s="210">
        <v>0</v>
      </c>
      <c r="K775" s="209">
        <v>0</v>
      </c>
      <c r="L775" s="209">
        <v>-52842.8</v>
      </c>
      <c r="M775" s="209">
        <v>0</v>
      </c>
      <c r="N775" s="242">
        <v>0</v>
      </c>
      <c r="O775" s="239"/>
    </row>
    <row r="776" spans="1:15" ht="34.5" x14ac:dyDescent="0.35">
      <c r="A776" s="211" t="s">
        <v>1633</v>
      </c>
      <c r="B776" s="211" t="s">
        <v>1634</v>
      </c>
      <c r="C776" s="209">
        <v>172103</v>
      </c>
      <c r="D776" s="209">
        <v>0</v>
      </c>
      <c r="E776" s="209">
        <v>0</v>
      </c>
      <c r="F776" s="209">
        <v>172103</v>
      </c>
      <c r="G776" s="242">
        <v>-172102.88</v>
      </c>
      <c r="H776" s="239"/>
      <c r="I776" s="239"/>
      <c r="J776" s="210">
        <v>0</v>
      </c>
      <c r="K776" s="209">
        <v>0</v>
      </c>
      <c r="L776" s="209">
        <v>-172102.88</v>
      </c>
      <c r="M776" s="209">
        <v>0.12</v>
      </c>
      <c r="N776" s="242">
        <v>0.12</v>
      </c>
      <c r="O776" s="239"/>
    </row>
    <row r="777" spans="1:15" ht="23" x14ac:dyDescent="0.35">
      <c r="A777" s="211" t="s">
        <v>1635</v>
      </c>
      <c r="B777" s="211" t="s">
        <v>1636</v>
      </c>
      <c r="C777" s="209">
        <v>19842</v>
      </c>
      <c r="D777" s="209">
        <v>0</v>
      </c>
      <c r="E777" s="209">
        <v>0</v>
      </c>
      <c r="F777" s="209">
        <v>19842</v>
      </c>
      <c r="G777" s="242">
        <v>-19842</v>
      </c>
      <c r="H777" s="239"/>
      <c r="I777" s="239"/>
      <c r="J777" s="210">
        <v>0</v>
      </c>
      <c r="K777" s="209">
        <v>0</v>
      </c>
      <c r="L777" s="209">
        <v>-19842</v>
      </c>
      <c r="M777" s="209">
        <v>0</v>
      </c>
      <c r="N777" s="242">
        <v>0</v>
      </c>
      <c r="O777" s="239"/>
    </row>
    <row r="778" spans="1:15" ht="23" x14ac:dyDescent="0.35">
      <c r="A778" s="211" t="s">
        <v>1637</v>
      </c>
      <c r="B778" s="211" t="s">
        <v>1638</v>
      </c>
      <c r="C778" s="209">
        <v>40000</v>
      </c>
      <c r="D778" s="209">
        <v>0</v>
      </c>
      <c r="E778" s="209">
        <v>0</v>
      </c>
      <c r="F778" s="209">
        <v>40000</v>
      </c>
      <c r="G778" s="242">
        <v>-40000</v>
      </c>
      <c r="H778" s="239"/>
      <c r="I778" s="239"/>
      <c r="J778" s="210">
        <v>0</v>
      </c>
      <c r="K778" s="209">
        <v>0</v>
      </c>
      <c r="L778" s="209">
        <v>-40000</v>
      </c>
      <c r="M778" s="209">
        <v>0</v>
      </c>
      <c r="N778" s="242">
        <v>0</v>
      </c>
      <c r="O778" s="239"/>
    </row>
    <row r="779" spans="1:15" ht="23" x14ac:dyDescent="0.35">
      <c r="A779" s="211" t="s">
        <v>1639</v>
      </c>
      <c r="B779" s="211" t="s">
        <v>1640</v>
      </c>
      <c r="C779" s="209">
        <v>1548630</v>
      </c>
      <c r="D779" s="209">
        <v>0</v>
      </c>
      <c r="E779" s="209">
        <v>0</v>
      </c>
      <c r="F779" s="209">
        <v>1548630</v>
      </c>
      <c r="G779" s="242">
        <v>-1548629.57</v>
      </c>
      <c r="H779" s="239"/>
      <c r="I779" s="239"/>
      <c r="J779" s="210">
        <v>0</v>
      </c>
      <c r="K779" s="209">
        <v>0</v>
      </c>
      <c r="L779" s="209">
        <v>-1548629.57</v>
      </c>
      <c r="M779" s="209">
        <v>0.43</v>
      </c>
      <c r="N779" s="242">
        <v>0.43</v>
      </c>
      <c r="O779" s="239"/>
    </row>
    <row r="780" spans="1:15" ht="23" x14ac:dyDescent="0.35">
      <c r="A780" s="211" t="s">
        <v>1641</v>
      </c>
      <c r="B780" s="211" t="s">
        <v>1642</v>
      </c>
      <c r="C780" s="209">
        <v>519885</v>
      </c>
      <c r="D780" s="209">
        <v>0</v>
      </c>
      <c r="E780" s="209">
        <v>0</v>
      </c>
      <c r="F780" s="209">
        <v>519885</v>
      </c>
      <c r="G780" s="242">
        <v>-519885</v>
      </c>
      <c r="H780" s="239"/>
      <c r="I780" s="239"/>
      <c r="J780" s="210">
        <v>0</v>
      </c>
      <c r="K780" s="209">
        <v>0</v>
      </c>
      <c r="L780" s="209">
        <v>-519885</v>
      </c>
      <c r="M780" s="209">
        <v>0</v>
      </c>
      <c r="N780" s="242">
        <v>0</v>
      </c>
      <c r="O780" s="239"/>
    </row>
    <row r="781" spans="1:15" ht="23" x14ac:dyDescent="0.35">
      <c r="A781" s="211" t="s">
        <v>1643</v>
      </c>
      <c r="B781" s="211" t="s">
        <v>1644</v>
      </c>
      <c r="C781" s="209">
        <v>52250</v>
      </c>
      <c r="D781" s="209">
        <v>0</v>
      </c>
      <c r="E781" s="209">
        <v>0</v>
      </c>
      <c r="F781" s="209">
        <v>52250</v>
      </c>
      <c r="G781" s="242">
        <v>-52250</v>
      </c>
      <c r="H781" s="239"/>
      <c r="I781" s="239"/>
      <c r="J781" s="210">
        <v>0</v>
      </c>
      <c r="K781" s="209">
        <v>0</v>
      </c>
      <c r="L781" s="209">
        <v>-52250</v>
      </c>
      <c r="M781" s="209">
        <v>0</v>
      </c>
      <c r="N781" s="242">
        <v>0</v>
      </c>
      <c r="O781" s="239"/>
    </row>
    <row r="782" spans="1:15" ht="23" x14ac:dyDescent="0.35">
      <c r="A782" s="211" t="s">
        <v>1645</v>
      </c>
      <c r="B782" s="211" t="s">
        <v>1646</v>
      </c>
      <c r="C782" s="209">
        <v>0</v>
      </c>
      <c r="D782" s="209">
        <v>0</v>
      </c>
      <c r="E782" s="209">
        <v>0</v>
      </c>
      <c r="F782" s="209">
        <v>0</v>
      </c>
      <c r="G782" s="242">
        <v>0</v>
      </c>
      <c r="H782" s="239"/>
      <c r="I782" s="239"/>
      <c r="J782" s="210">
        <v>0</v>
      </c>
      <c r="K782" s="209">
        <v>0</v>
      </c>
      <c r="L782" s="209">
        <v>0</v>
      </c>
      <c r="M782" s="209">
        <v>0</v>
      </c>
      <c r="N782" s="242">
        <v>0</v>
      </c>
      <c r="O782" s="239"/>
    </row>
    <row r="783" spans="1:15" x14ac:dyDescent="0.35">
      <c r="A783" s="211" t="s">
        <v>1647</v>
      </c>
      <c r="B783" s="211" t="s">
        <v>1648</v>
      </c>
      <c r="C783" s="209">
        <v>177650</v>
      </c>
      <c r="D783" s="209">
        <v>0</v>
      </c>
      <c r="E783" s="209">
        <v>0</v>
      </c>
      <c r="F783" s="209">
        <v>177650</v>
      </c>
      <c r="G783" s="242">
        <v>-177650</v>
      </c>
      <c r="H783" s="239"/>
      <c r="I783" s="239"/>
      <c r="J783" s="210">
        <v>0</v>
      </c>
      <c r="K783" s="209">
        <v>0</v>
      </c>
      <c r="L783" s="209">
        <v>-177650</v>
      </c>
      <c r="M783" s="209">
        <v>0</v>
      </c>
      <c r="N783" s="242">
        <v>0</v>
      </c>
      <c r="O783" s="239"/>
    </row>
    <row r="784" spans="1:15" ht="23" x14ac:dyDescent="0.35">
      <c r="A784" s="211" t="s">
        <v>1649</v>
      </c>
      <c r="B784" s="211" t="s">
        <v>1650</v>
      </c>
      <c r="C784" s="209">
        <v>5356007</v>
      </c>
      <c r="D784" s="209">
        <v>0</v>
      </c>
      <c r="E784" s="209">
        <v>0</v>
      </c>
      <c r="F784" s="209">
        <v>5356007</v>
      </c>
      <c r="G784" s="242">
        <v>-5356007</v>
      </c>
      <c r="H784" s="239"/>
      <c r="I784" s="239"/>
      <c r="J784" s="210">
        <v>0</v>
      </c>
      <c r="K784" s="209">
        <v>0</v>
      </c>
      <c r="L784" s="209">
        <v>-5356007</v>
      </c>
      <c r="M784" s="209">
        <v>0</v>
      </c>
      <c r="N784" s="242">
        <v>0</v>
      </c>
      <c r="O784" s="239"/>
    </row>
    <row r="785" spans="1:15" ht="23" x14ac:dyDescent="0.35">
      <c r="A785" s="211" t="s">
        <v>1651</v>
      </c>
      <c r="B785" s="211" t="s">
        <v>1652</v>
      </c>
      <c r="C785" s="209">
        <v>813522</v>
      </c>
      <c r="D785" s="209">
        <v>0</v>
      </c>
      <c r="E785" s="209">
        <v>0</v>
      </c>
      <c r="F785" s="209">
        <v>813522</v>
      </c>
      <c r="G785" s="242">
        <v>-813522</v>
      </c>
      <c r="H785" s="239"/>
      <c r="I785" s="239"/>
      <c r="J785" s="210">
        <v>0</v>
      </c>
      <c r="K785" s="209">
        <v>0</v>
      </c>
      <c r="L785" s="209">
        <v>-813522</v>
      </c>
      <c r="M785" s="209">
        <v>0</v>
      </c>
      <c r="N785" s="242">
        <v>0</v>
      </c>
      <c r="O785" s="239"/>
    </row>
    <row r="786" spans="1:15" x14ac:dyDescent="0.35">
      <c r="A786" s="211" t="s">
        <v>1653</v>
      </c>
      <c r="B786" s="211" t="s">
        <v>1654</v>
      </c>
      <c r="C786" s="209">
        <v>102000</v>
      </c>
      <c r="D786" s="209">
        <v>0</v>
      </c>
      <c r="E786" s="209">
        <v>0</v>
      </c>
      <c r="F786" s="209">
        <v>102000</v>
      </c>
      <c r="G786" s="242">
        <v>-102000</v>
      </c>
      <c r="H786" s="239"/>
      <c r="I786" s="239"/>
      <c r="J786" s="210">
        <v>0</v>
      </c>
      <c r="K786" s="209">
        <v>0</v>
      </c>
      <c r="L786" s="209">
        <v>-102000</v>
      </c>
      <c r="M786" s="209">
        <v>0</v>
      </c>
      <c r="N786" s="242">
        <v>0</v>
      </c>
      <c r="O786" s="239"/>
    </row>
    <row r="787" spans="1:15" ht="23" x14ac:dyDescent="0.35">
      <c r="A787" s="211" t="s">
        <v>1655</v>
      </c>
      <c r="B787" s="211" t="s">
        <v>1656</v>
      </c>
      <c r="C787" s="209">
        <v>76899</v>
      </c>
      <c r="D787" s="209">
        <v>0</v>
      </c>
      <c r="E787" s="209">
        <v>0</v>
      </c>
      <c r="F787" s="209">
        <v>76899</v>
      </c>
      <c r="G787" s="242">
        <v>-76899</v>
      </c>
      <c r="H787" s="239"/>
      <c r="I787" s="239"/>
      <c r="J787" s="210">
        <v>0</v>
      </c>
      <c r="K787" s="209">
        <v>0</v>
      </c>
      <c r="L787" s="209">
        <v>-76899</v>
      </c>
      <c r="M787" s="209">
        <v>0</v>
      </c>
      <c r="N787" s="242">
        <v>0</v>
      </c>
      <c r="O787" s="239"/>
    </row>
    <row r="788" spans="1:15" x14ac:dyDescent="0.35">
      <c r="A788" s="211" t="s">
        <v>1657</v>
      </c>
      <c r="B788" s="211" t="s">
        <v>1658</v>
      </c>
      <c r="C788" s="209">
        <v>156533</v>
      </c>
      <c r="D788" s="209">
        <v>0</v>
      </c>
      <c r="E788" s="209">
        <v>0</v>
      </c>
      <c r="F788" s="209">
        <v>156533</v>
      </c>
      <c r="G788" s="242">
        <v>-156533</v>
      </c>
      <c r="H788" s="239"/>
      <c r="I788" s="239"/>
      <c r="J788" s="210">
        <v>0</v>
      </c>
      <c r="K788" s="209">
        <v>0</v>
      </c>
      <c r="L788" s="209">
        <v>-156533</v>
      </c>
      <c r="M788" s="209">
        <v>0</v>
      </c>
      <c r="N788" s="242">
        <v>0</v>
      </c>
      <c r="O788" s="239"/>
    </row>
    <row r="789" spans="1:15" ht="23" x14ac:dyDescent="0.35">
      <c r="A789" s="211" t="s">
        <v>1659</v>
      </c>
      <c r="B789" s="211" t="s">
        <v>1660</v>
      </c>
      <c r="C789" s="209">
        <v>535848</v>
      </c>
      <c r="D789" s="209">
        <v>0</v>
      </c>
      <c r="E789" s="209">
        <v>0</v>
      </c>
      <c r="F789" s="209">
        <v>535848</v>
      </c>
      <c r="G789" s="242">
        <v>-535848</v>
      </c>
      <c r="H789" s="239"/>
      <c r="I789" s="239"/>
      <c r="J789" s="210">
        <v>0</v>
      </c>
      <c r="K789" s="209">
        <v>0</v>
      </c>
      <c r="L789" s="209">
        <v>-535848</v>
      </c>
      <c r="M789" s="209">
        <v>0</v>
      </c>
      <c r="N789" s="242">
        <v>0</v>
      </c>
      <c r="O789" s="239"/>
    </row>
    <row r="790" spans="1:15" ht="23" x14ac:dyDescent="0.35">
      <c r="A790" s="211" t="s">
        <v>1661</v>
      </c>
      <c r="B790" s="211" t="s">
        <v>1662</v>
      </c>
      <c r="C790" s="209">
        <v>42503</v>
      </c>
      <c r="D790" s="209">
        <v>0</v>
      </c>
      <c r="E790" s="209">
        <v>0</v>
      </c>
      <c r="F790" s="209">
        <v>42503</v>
      </c>
      <c r="G790" s="242">
        <v>-42503</v>
      </c>
      <c r="H790" s="239"/>
      <c r="I790" s="239"/>
      <c r="J790" s="210">
        <v>0</v>
      </c>
      <c r="K790" s="209">
        <v>0</v>
      </c>
      <c r="L790" s="209">
        <v>-42503</v>
      </c>
      <c r="M790" s="209">
        <v>0</v>
      </c>
      <c r="N790" s="242">
        <v>0</v>
      </c>
      <c r="O790" s="239"/>
    </row>
    <row r="791" spans="1:15" ht="23" x14ac:dyDescent="0.35">
      <c r="A791" s="211" t="s">
        <v>1663</v>
      </c>
      <c r="B791" s="211" t="s">
        <v>1664</v>
      </c>
      <c r="C791" s="209">
        <v>42503</v>
      </c>
      <c r="D791" s="209">
        <v>0</v>
      </c>
      <c r="E791" s="209">
        <v>0</v>
      </c>
      <c r="F791" s="209">
        <v>42503</v>
      </c>
      <c r="G791" s="242">
        <v>-42503</v>
      </c>
      <c r="H791" s="239"/>
      <c r="I791" s="239"/>
      <c r="J791" s="210">
        <v>0</v>
      </c>
      <c r="K791" s="209">
        <v>0</v>
      </c>
      <c r="L791" s="209">
        <v>-42503</v>
      </c>
      <c r="M791" s="209">
        <v>0</v>
      </c>
      <c r="N791" s="242">
        <v>0</v>
      </c>
      <c r="O791" s="239"/>
    </row>
    <row r="792" spans="1:15" ht="23" x14ac:dyDescent="0.35">
      <c r="A792" s="211" t="s">
        <v>1665</v>
      </c>
      <c r="B792" s="211" t="s">
        <v>1666</v>
      </c>
      <c r="C792" s="209">
        <v>109000</v>
      </c>
      <c r="D792" s="209">
        <v>0</v>
      </c>
      <c r="E792" s="209">
        <v>0</v>
      </c>
      <c r="F792" s="209">
        <v>109000</v>
      </c>
      <c r="G792" s="242">
        <v>-109000</v>
      </c>
      <c r="H792" s="239"/>
      <c r="I792" s="239"/>
      <c r="J792" s="210">
        <v>0</v>
      </c>
      <c r="K792" s="209">
        <v>0</v>
      </c>
      <c r="L792" s="209">
        <v>-109000</v>
      </c>
      <c r="M792" s="209">
        <v>0</v>
      </c>
      <c r="N792" s="242">
        <v>0</v>
      </c>
      <c r="O792" s="239"/>
    </row>
    <row r="793" spans="1:15" x14ac:dyDescent="0.35">
      <c r="A793" s="211" t="s">
        <v>1667</v>
      </c>
      <c r="B793" s="211" t="s">
        <v>1668</v>
      </c>
      <c r="C793" s="209">
        <v>308400</v>
      </c>
      <c r="D793" s="209">
        <v>0</v>
      </c>
      <c r="E793" s="209">
        <v>0</v>
      </c>
      <c r="F793" s="209">
        <v>308400</v>
      </c>
      <c r="G793" s="242">
        <v>-308400</v>
      </c>
      <c r="H793" s="239"/>
      <c r="I793" s="239"/>
      <c r="J793" s="210">
        <v>0</v>
      </c>
      <c r="K793" s="209">
        <v>0</v>
      </c>
      <c r="L793" s="209">
        <v>-308400</v>
      </c>
      <c r="M793" s="209">
        <v>0</v>
      </c>
      <c r="N793" s="242">
        <v>0</v>
      </c>
      <c r="O793" s="239"/>
    </row>
    <row r="794" spans="1:15" x14ac:dyDescent="0.35">
      <c r="A794" s="211" t="s">
        <v>1669</v>
      </c>
      <c r="B794" s="211" t="s">
        <v>1670</v>
      </c>
      <c r="C794" s="209">
        <v>0</v>
      </c>
      <c r="D794" s="209">
        <v>0</v>
      </c>
      <c r="E794" s="209">
        <v>0</v>
      </c>
      <c r="F794" s="209">
        <v>0</v>
      </c>
      <c r="G794" s="242">
        <v>0</v>
      </c>
      <c r="H794" s="239"/>
      <c r="I794" s="239"/>
      <c r="J794" s="210">
        <v>0</v>
      </c>
      <c r="K794" s="209">
        <v>0</v>
      </c>
      <c r="L794" s="209">
        <v>0</v>
      </c>
      <c r="M794" s="209">
        <v>0</v>
      </c>
      <c r="N794" s="242">
        <v>0</v>
      </c>
      <c r="O794" s="239"/>
    </row>
    <row r="795" spans="1:15" ht="23" x14ac:dyDescent="0.35">
      <c r="A795" s="211" t="s">
        <v>1671</v>
      </c>
      <c r="B795" s="211" t="s">
        <v>1672</v>
      </c>
      <c r="C795" s="209">
        <v>741748</v>
      </c>
      <c r="D795" s="209">
        <v>0</v>
      </c>
      <c r="E795" s="209">
        <v>0</v>
      </c>
      <c r="F795" s="209">
        <v>741748</v>
      </c>
      <c r="G795" s="242">
        <v>-741747.54</v>
      </c>
      <c r="H795" s="239"/>
      <c r="I795" s="239"/>
      <c r="J795" s="210">
        <v>0</v>
      </c>
      <c r="K795" s="209">
        <v>0</v>
      </c>
      <c r="L795" s="209">
        <v>-741747.54</v>
      </c>
      <c r="M795" s="209">
        <v>0.46</v>
      </c>
      <c r="N795" s="242">
        <v>0.46</v>
      </c>
      <c r="O795" s="239"/>
    </row>
    <row r="796" spans="1:15" ht="23" x14ac:dyDescent="0.35">
      <c r="A796" s="211" t="s">
        <v>1673</v>
      </c>
      <c r="B796" s="211" t="s">
        <v>1674</v>
      </c>
      <c r="C796" s="209">
        <v>172948</v>
      </c>
      <c r="D796" s="209">
        <v>0</v>
      </c>
      <c r="E796" s="209">
        <v>0</v>
      </c>
      <c r="F796" s="209">
        <v>172948</v>
      </c>
      <c r="G796" s="242">
        <v>-172948</v>
      </c>
      <c r="H796" s="239"/>
      <c r="I796" s="239"/>
      <c r="J796" s="210">
        <v>0</v>
      </c>
      <c r="K796" s="209">
        <v>0</v>
      </c>
      <c r="L796" s="209">
        <v>-172948</v>
      </c>
      <c r="M796" s="209">
        <v>0</v>
      </c>
      <c r="N796" s="242">
        <v>0</v>
      </c>
      <c r="O796" s="239"/>
    </row>
    <row r="797" spans="1:15" x14ac:dyDescent="0.35">
      <c r="A797" s="211" t="s">
        <v>1675</v>
      </c>
      <c r="B797" s="211" t="s">
        <v>1676</v>
      </c>
      <c r="C797" s="209">
        <v>93183</v>
      </c>
      <c r="D797" s="209">
        <v>0</v>
      </c>
      <c r="E797" s="209">
        <v>0</v>
      </c>
      <c r="F797" s="209">
        <v>93183</v>
      </c>
      <c r="G797" s="242">
        <v>-93183</v>
      </c>
      <c r="H797" s="239"/>
      <c r="I797" s="239"/>
      <c r="J797" s="210">
        <v>0</v>
      </c>
      <c r="K797" s="209">
        <v>0</v>
      </c>
      <c r="L797" s="209">
        <v>-93183</v>
      </c>
      <c r="M797" s="209">
        <v>0</v>
      </c>
      <c r="N797" s="242">
        <v>0</v>
      </c>
      <c r="O797" s="239"/>
    </row>
    <row r="798" spans="1:15" ht="23" x14ac:dyDescent="0.35">
      <c r="A798" s="211" t="s">
        <v>1677</v>
      </c>
      <c r="B798" s="211" t="s">
        <v>1678</v>
      </c>
      <c r="C798" s="209">
        <v>3009170</v>
      </c>
      <c r="D798" s="209">
        <v>0</v>
      </c>
      <c r="E798" s="209">
        <v>0</v>
      </c>
      <c r="F798" s="209">
        <v>3009170</v>
      </c>
      <c r="G798" s="242">
        <v>-3009170</v>
      </c>
      <c r="H798" s="239"/>
      <c r="I798" s="239"/>
      <c r="J798" s="210">
        <v>0</v>
      </c>
      <c r="K798" s="209">
        <v>0</v>
      </c>
      <c r="L798" s="209">
        <v>-3009170</v>
      </c>
      <c r="M798" s="209">
        <v>0</v>
      </c>
      <c r="N798" s="242">
        <v>0</v>
      </c>
      <c r="O798" s="239"/>
    </row>
    <row r="799" spans="1:15" x14ac:dyDescent="0.35">
      <c r="A799" s="211" t="s">
        <v>1679</v>
      </c>
      <c r="B799" s="211" t="s">
        <v>1680</v>
      </c>
      <c r="C799" s="209">
        <v>0</v>
      </c>
      <c r="D799" s="209">
        <v>0</v>
      </c>
      <c r="E799" s="209">
        <v>0</v>
      </c>
      <c r="F799" s="209">
        <v>0</v>
      </c>
      <c r="G799" s="242">
        <v>0</v>
      </c>
      <c r="H799" s="239"/>
      <c r="I799" s="239"/>
      <c r="J799" s="210">
        <v>0</v>
      </c>
      <c r="K799" s="209">
        <v>0</v>
      </c>
      <c r="L799" s="209">
        <v>0</v>
      </c>
      <c r="M799" s="209">
        <v>0</v>
      </c>
      <c r="N799" s="242">
        <v>0</v>
      </c>
      <c r="O799" s="239"/>
    </row>
    <row r="800" spans="1:15" ht="23" x14ac:dyDescent="0.35">
      <c r="A800" s="211" t="s">
        <v>1681</v>
      </c>
      <c r="B800" s="211" t="s">
        <v>1682</v>
      </c>
      <c r="C800" s="209">
        <v>0</v>
      </c>
      <c r="D800" s="209">
        <v>0</v>
      </c>
      <c r="E800" s="209">
        <v>0</v>
      </c>
      <c r="F800" s="209">
        <v>0</v>
      </c>
      <c r="G800" s="242">
        <v>0</v>
      </c>
      <c r="H800" s="239"/>
      <c r="I800" s="239"/>
      <c r="J800" s="210">
        <v>0</v>
      </c>
      <c r="K800" s="209">
        <v>0</v>
      </c>
      <c r="L800" s="209">
        <v>0</v>
      </c>
      <c r="M800" s="209">
        <v>0</v>
      </c>
      <c r="N800" s="242">
        <v>0</v>
      </c>
      <c r="O800" s="239"/>
    </row>
    <row r="801" spans="1:15" ht="23" x14ac:dyDescent="0.35">
      <c r="A801" s="211" t="s">
        <v>1683</v>
      </c>
      <c r="B801" s="211" t="s">
        <v>1684</v>
      </c>
      <c r="C801" s="209">
        <v>35108</v>
      </c>
      <c r="D801" s="209">
        <v>0</v>
      </c>
      <c r="E801" s="209">
        <v>0</v>
      </c>
      <c r="F801" s="209">
        <v>35108</v>
      </c>
      <c r="G801" s="242">
        <v>-35108</v>
      </c>
      <c r="H801" s="239"/>
      <c r="I801" s="239"/>
      <c r="J801" s="210">
        <v>0</v>
      </c>
      <c r="K801" s="209">
        <v>0</v>
      </c>
      <c r="L801" s="209">
        <v>-35108</v>
      </c>
      <c r="M801" s="209">
        <v>0</v>
      </c>
      <c r="N801" s="242">
        <v>0</v>
      </c>
      <c r="O801" s="239"/>
    </row>
    <row r="802" spans="1:15" ht="23" x14ac:dyDescent="0.35">
      <c r="A802" s="211" t="s">
        <v>1685</v>
      </c>
      <c r="B802" s="211" t="s">
        <v>1686</v>
      </c>
      <c r="C802" s="209">
        <v>24955</v>
      </c>
      <c r="D802" s="209">
        <v>0</v>
      </c>
      <c r="E802" s="209">
        <v>0</v>
      </c>
      <c r="F802" s="209">
        <v>24955</v>
      </c>
      <c r="G802" s="242">
        <v>-24955</v>
      </c>
      <c r="H802" s="239"/>
      <c r="I802" s="239"/>
      <c r="J802" s="210">
        <v>0</v>
      </c>
      <c r="K802" s="209">
        <v>0</v>
      </c>
      <c r="L802" s="209">
        <v>-24955</v>
      </c>
      <c r="M802" s="209">
        <v>0</v>
      </c>
      <c r="N802" s="242">
        <v>0</v>
      </c>
      <c r="O802" s="239"/>
    </row>
    <row r="803" spans="1:15" ht="23" x14ac:dyDescent="0.35">
      <c r="A803" s="211" t="s">
        <v>1687</v>
      </c>
      <c r="B803" s="211" t="s">
        <v>1688</v>
      </c>
      <c r="C803" s="209">
        <v>175307</v>
      </c>
      <c r="D803" s="209">
        <v>0</v>
      </c>
      <c r="E803" s="209">
        <v>0</v>
      </c>
      <c r="F803" s="209">
        <v>175307</v>
      </c>
      <c r="G803" s="242">
        <v>-175307</v>
      </c>
      <c r="H803" s="239"/>
      <c r="I803" s="239"/>
      <c r="J803" s="210">
        <v>0</v>
      </c>
      <c r="K803" s="209">
        <v>0</v>
      </c>
      <c r="L803" s="209">
        <v>-175307</v>
      </c>
      <c r="M803" s="209">
        <v>0</v>
      </c>
      <c r="N803" s="242">
        <v>0</v>
      </c>
      <c r="O803" s="239"/>
    </row>
    <row r="804" spans="1:15" ht="23" x14ac:dyDescent="0.35">
      <c r="A804" s="211" t="s">
        <v>1689</v>
      </c>
      <c r="B804" s="211" t="s">
        <v>1690</v>
      </c>
      <c r="C804" s="209">
        <v>50939</v>
      </c>
      <c r="D804" s="209">
        <v>0</v>
      </c>
      <c r="E804" s="209">
        <v>0</v>
      </c>
      <c r="F804" s="209">
        <v>50939</v>
      </c>
      <c r="G804" s="242">
        <v>-50939</v>
      </c>
      <c r="H804" s="239"/>
      <c r="I804" s="239"/>
      <c r="J804" s="210">
        <v>0</v>
      </c>
      <c r="K804" s="209">
        <v>0</v>
      </c>
      <c r="L804" s="209">
        <v>-50939</v>
      </c>
      <c r="M804" s="209">
        <v>0</v>
      </c>
      <c r="N804" s="242">
        <v>0</v>
      </c>
      <c r="O804" s="239"/>
    </row>
    <row r="805" spans="1:15" x14ac:dyDescent="0.35">
      <c r="A805" s="211" t="s">
        <v>1691</v>
      </c>
      <c r="B805" s="211" t="s">
        <v>1298</v>
      </c>
      <c r="C805" s="209">
        <v>47600</v>
      </c>
      <c r="D805" s="209">
        <v>0</v>
      </c>
      <c r="E805" s="209">
        <v>0</v>
      </c>
      <c r="F805" s="209">
        <v>47600</v>
      </c>
      <c r="G805" s="242">
        <v>-47600</v>
      </c>
      <c r="H805" s="239"/>
      <c r="I805" s="239"/>
      <c r="J805" s="210">
        <v>0</v>
      </c>
      <c r="K805" s="209">
        <v>0</v>
      </c>
      <c r="L805" s="209">
        <v>-47600</v>
      </c>
      <c r="M805" s="209">
        <v>0</v>
      </c>
      <c r="N805" s="242">
        <v>0</v>
      </c>
      <c r="O805" s="239"/>
    </row>
    <row r="806" spans="1:15" x14ac:dyDescent="0.35">
      <c r="A806" s="211" t="s">
        <v>1692</v>
      </c>
      <c r="B806" s="211" t="s">
        <v>1298</v>
      </c>
      <c r="C806" s="209">
        <v>47600</v>
      </c>
      <c r="D806" s="209">
        <v>0</v>
      </c>
      <c r="E806" s="209">
        <v>0</v>
      </c>
      <c r="F806" s="209">
        <v>47600</v>
      </c>
      <c r="G806" s="242">
        <v>-47600</v>
      </c>
      <c r="H806" s="239"/>
      <c r="I806" s="239"/>
      <c r="J806" s="210">
        <v>0</v>
      </c>
      <c r="K806" s="209">
        <v>0</v>
      </c>
      <c r="L806" s="209">
        <v>-47600</v>
      </c>
      <c r="M806" s="209">
        <v>0</v>
      </c>
      <c r="N806" s="242">
        <v>0</v>
      </c>
      <c r="O806" s="239"/>
    </row>
    <row r="807" spans="1:15" ht="23" x14ac:dyDescent="0.35">
      <c r="A807" s="211" t="s">
        <v>1693</v>
      </c>
      <c r="B807" s="211" t="s">
        <v>1694</v>
      </c>
      <c r="C807" s="209">
        <v>49500</v>
      </c>
      <c r="D807" s="209">
        <v>0</v>
      </c>
      <c r="E807" s="209">
        <v>0</v>
      </c>
      <c r="F807" s="209">
        <v>49500</v>
      </c>
      <c r="G807" s="242">
        <v>-49500</v>
      </c>
      <c r="H807" s="239"/>
      <c r="I807" s="239"/>
      <c r="J807" s="210">
        <v>0</v>
      </c>
      <c r="K807" s="209">
        <v>0</v>
      </c>
      <c r="L807" s="209">
        <v>-49500</v>
      </c>
      <c r="M807" s="209">
        <v>0</v>
      </c>
      <c r="N807" s="242">
        <v>0</v>
      </c>
      <c r="O807" s="239"/>
    </row>
    <row r="808" spans="1:15" x14ac:dyDescent="0.35">
      <c r="A808" s="211" t="s">
        <v>1695</v>
      </c>
      <c r="B808" s="211" t="s">
        <v>1696</v>
      </c>
      <c r="C808" s="209">
        <v>195890</v>
      </c>
      <c r="D808" s="209">
        <v>0</v>
      </c>
      <c r="E808" s="209">
        <v>0</v>
      </c>
      <c r="F808" s="209">
        <v>195890</v>
      </c>
      <c r="G808" s="242">
        <v>-195890</v>
      </c>
      <c r="H808" s="239"/>
      <c r="I808" s="239"/>
      <c r="J808" s="210">
        <v>0</v>
      </c>
      <c r="K808" s="209">
        <v>0</v>
      </c>
      <c r="L808" s="209">
        <v>-195890</v>
      </c>
      <c r="M808" s="209">
        <v>0</v>
      </c>
      <c r="N808" s="242">
        <v>0</v>
      </c>
      <c r="O808" s="239"/>
    </row>
    <row r="809" spans="1:15" x14ac:dyDescent="0.35">
      <c r="A809" s="211" t="s">
        <v>1697</v>
      </c>
      <c r="B809" s="211" t="s">
        <v>1698</v>
      </c>
      <c r="C809" s="209">
        <v>470939</v>
      </c>
      <c r="D809" s="209">
        <v>0</v>
      </c>
      <c r="E809" s="209">
        <v>0</v>
      </c>
      <c r="F809" s="209">
        <v>470939</v>
      </c>
      <c r="G809" s="242">
        <v>-470938.65</v>
      </c>
      <c r="H809" s="239"/>
      <c r="I809" s="239"/>
      <c r="J809" s="210">
        <v>0</v>
      </c>
      <c r="K809" s="209">
        <v>0</v>
      </c>
      <c r="L809" s="209">
        <v>-470938.65</v>
      </c>
      <c r="M809" s="209">
        <v>0.35</v>
      </c>
      <c r="N809" s="242">
        <v>0.35</v>
      </c>
      <c r="O809" s="239"/>
    </row>
    <row r="810" spans="1:15" x14ac:dyDescent="0.35">
      <c r="A810" s="211" t="s">
        <v>1699</v>
      </c>
      <c r="B810" s="211" t="s">
        <v>1700</v>
      </c>
      <c r="C810" s="209">
        <v>313998</v>
      </c>
      <c r="D810" s="209">
        <v>0</v>
      </c>
      <c r="E810" s="209">
        <v>0</v>
      </c>
      <c r="F810" s="209">
        <v>313998</v>
      </c>
      <c r="G810" s="242">
        <v>-313998</v>
      </c>
      <c r="H810" s="239"/>
      <c r="I810" s="239"/>
      <c r="J810" s="210">
        <v>0</v>
      </c>
      <c r="K810" s="209">
        <v>0</v>
      </c>
      <c r="L810" s="209">
        <v>-313998</v>
      </c>
      <c r="M810" s="209">
        <v>0</v>
      </c>
      <c r="N810" s="242">
        <v>0</v>
      </c>
      <c r="O810" s="239"/>
    </row>
    <row r="811" spans="1:15" ht="23" x14ac:dyDescent="0.35">
      <c r="A811" s="211" t="s">
        <v>1701</v>
      </c>
      <c r="B811" s="211" t="s">
        <v>1702</v>
      </c>
      <c r="C811" s="209">
        <v>209124.98</v>
      </c>
      <c r="D811" s="209">
        <v>0</v>
      </c>
      <c r="E811" s="209">
        <v>0</v>
      </c>
      <c r="F811" s="209">
        <v>209124.98</v>
      </c>
      <c r="G811" s="242">
        <v>-209124.98</v>
      </c>
      <c r="H811" s="239"/>
      <c r="I811" s="239"/>
      <c r="J811" s="210">
        <v>0</v>
      </c>
      <c r="K811" s="209">
        <v>0</v>
      </c>
      <c r="L811" s="209">
        <v>-209124.98</v>
      </c>
      <c r="M811" s="209">
        <v>0</v>
      </c>
      <c r="N811" s="242">
        <v>0</v>
      </c>
      <c r="O811" s="239"/>
    </row>
    <row r="812" spans="1:15" x14ac:dyDescent="0.35">
      <c r="A812" s="211" t="s">
        <v>1703</v>
      </c>
      <c r="B812" s="211" t="s">
        <v>1704</v>
      </c>
      <c r="C812" s="209">
        <v>300988</v>
      </c>
      <c r="D812" s="209">
        <v>0</v>
      </c>
      <c r="E812" s="209">
        <v>0</v>
      </c>
      <c r="F812" s="209">
        <v>300988</v>
      </c>
      <c r="G812" s="242">
        <v>-300988</v>
      </c>
      <c r="H812" s="239"/>
      <c r="I812" s="239"/>
      <c r="J812" s="210">
        <v>0</v>
      </c>
      <c r="K812" s="209">
        <v>0</v>
      </c>
      <c r="L812" s="209">
        <v>-300988</v>
      </c>
      <c r="M812" s="209">
        <v>0</v>
      </c>
      <c r="N812" s="242">
        <v>0</v>
      </c>
      <c r="O812" s="239"/>
    </row>
    <row r="813" spans="1:15" ht="23" x14ac:dyDescent="0.35">
      <c r="A813" s="211" t="s">
        <v>1705</v>
      </c>
      <c r="B813" s="211" t="s">
        <v>1706</v>
      </c>
      <c r="C813" s="209">
        <v>92511</v>
      </c>
      <c r="D813" s="209">
        <v>0</v>
      </c>
      <c r="E813" s="209">
        <v>0</v>
      </c>
      <c r="F813" s="209">
        <v>92511</v>
      </c>
      <c r="G813" s="242">
        <v>-92511</v>
      </c>
      <c r="H813" s="239"/>
      <c r="I813" s="239"/>
      <c r="J813" s="210">
        <v>0</v>
      </c>
      <c r="K813" s="209">
        <v>0</v>
      </c>
      <c r="L813" s="209">
        <v>-92511</v>
      </c>
      <c r="M813" s="209">
        <v>0</v>
      </c>
      <c r="N813" s="242">
        <v>0</v>
      </c>
      <c r="O813" s="239"/>
    </row>
    <row r="814" spans="1:15" x14ac:dyDescent="0.35">
      <c r="A814" s="211" t="s">
        <v>1707</v>
      </c>
      <c r="B814" s="211" t="s">
        <v>1658</v>
      </c>
      <c r="C814" s="209">
        <v>45468</v>
      </c>
      <c r="D814" s="209">
        <v>0</v>
      </c>
      <c r="E814" s="209">
        <v>0</v>
      </c>
      <c r="F814" s="209">
        <v>45468</v>
      </c>
      <c r="G814" s="242">
        <v>-45468</v>
      </c>
      <c r="H814" s="239"/>
      <c r="I814" s="239"/>
      <c r="J814" s="210">
        <v>0</v>
      </c>
      <c r="K814" s="209">
        <v>0</v>
      </c>
      <c r="L814" s="209">
        <v>-45468</v>
      </c>
      <c r="M814" s="209">
        <v>0</v>
      </c>
      <c r="N814" s="242">
        <v>0</v>
      </c>
      <c r="O814" s="239"/>
    </row>
    <row r="815" spans="1:15" ht="23" x14ac:dyDescent="0.35">
      <c r="A815" s="211" t="s">
        <v>1708</v>
      </c>
      <c r="B815" s="211" t="s">
        <v>1709</v>
      </c>
      <c r="C815" s="209">
        <v>26000</v>
      </c>
      <c r="D815" s="209">
        <v>0</v>
      </c>
      <c r="E815" s="209">
        <v>0</v>
      </c>
      <c r="F815" s="209">
        <v>26000</v>
      </c>
      <c r="G815" s="242">
        <v>-26000</v>
      </c>
      <c r="H815" s="239"/>
      <c r="I815" s="239"/>
      <c r="J815" s="210">
        <v>0</v>
      </c>
      <c r="K815" s="209">
        <v>0</v>
      </c>
      <c r="L815" s="209">
        <v>-26000</v>
      </c>
      <c r="M815" s="209">
        <v>0</v>
      </c>
      <c r="N815" s="242">
        <v>0</v>
      </c>
      <c r="O815" s="239"/>
    </row>
    <row r="816" spans="1:15" x14ac:dyDescent="0.35">
      <c r="A816" s="211" t="s">
        <v>1710</v>
      </c>
      <c r="B816" s="211" t="s">
        <v>1543</v>
      </c>
      <c r="C816" s="209">
        <v>30991</v>
      </c>
      <c r="D816" s="209">
        <v>0</v>
      </c>
      <c r="E816" s="209">
        <v>0</v>
      </c>
      <c r="F816" s="209">
        <v>30991</v>
      </c>
      <c r="G816" s="242">
        <v>-30991</v>
      </c>
      <c r="H816" s="239"/>
      <c r="I816" s="239"/>
      <c r="J816" s="210">
        <v>0</v>
      </c>
      <c r="K816" s="209">
        <v>0</v>
      </c>
      <c r="L816" s="209">
        <v>-30991</v>
      </c>
      <c r="M816" s="209">
        <v>0</v>
      </c>
      <c r="N816" s="242">
        <v>0</v>
      </c>
      <c r="O816" s="239"/>
    </row>
    <row r="817" spans="1:15" x14ac:dyDescent="0.35">
      <c r="A817" s="211" t="s">
        <v>1711</v>
      </c>
      <c r="B817" s="211" t="s">
        <v>1712</v>
      </c>
      <c r="C817" s="209">
        <v>54600</v>
      </c>
      <c r="D817" s="209">
        <v>0</v>
      </c>
      <c r="E817" s="209">
        <v>0</v>
      </c>
      <c r="F817" s="209">
        <v>54600</v>
      </c>
      <c r="G817" s="242">
        <v>-54600</v>
      </c>
      <c r="H817" s="239"/>
      <c r="I817" s="239"/>
      <c r="J817" s="210">
        <v>0</v>
      </c>
      <c r="K817" s="209">
        <v>0</v>
      </c>
      <c r="L817" s="209">
        <v>-54600</v>
      </c>
      <c r="M817" s="209">
        <v>0</v>
      </c>
      <c r="N817" s="242">
        <v>0</v>
      </c>
      <c r="O817" s="239"/>
    </row>
    <row r="818" spans="1:15" x14ac:dyDescent="0.35">
      <c r="A818" s="211" t="s">
        <v>1713</v>
      </c>
      <c r="B818" s="211" t="s">
        <v>1714</v>
      </c>
      <c r="C818" s="209">
        <v>90505</v>
      </c>
      <c r="D818" s="209">
        <v>0</v>
      </c>
      <c r="E818" s="209">
        <v>0</v>
      </c>
      <c r="F818" s="209">
        <v>90505</v>
      </c>
      <c r="G818" s="242">
        <v>-90505</v>
      </c>
      <c r="H818" s="239"/>
      <c r="I818" s="239"/>
      <c r="J818" s="210">
        <v>0</v>
      </c>
      <c r="K818" s="209">
        <v>0</v>
      </c>
      <c r="L818" s="209">
        <v>-90505</v>
      </c>
      <c r="M818" s="209">
        <v>0</v>
      </c>
      <c r="N818" s="242">
        <v>0</v>
      </c>
      <c r="O818" s="239"/>
    </row>
    <row r="819" spans="1:15" x14ac:dyDescent="0.35">
      <c r="A819" s="211" t="s">
        <v>1715</v>
      </c>
      <c r="B819" s="211" t="s">
        <v>1716</v>
      </c>
      <c r="C819" s="209">
        <v>70000</v>
      </c>
      <c r="D819" s="209">
        <v>0</v>
      </c>
      <c r="E819" s="209">
        <v>0</v>
      </c>
      <c r="F819" s="209">
        <v>70000</v>
      </c>
      <c r="G819" s="242">
        <v>-70000</v>
      </c>
      <c r="H819" s="239"/>
      <c r="I819" s="239"/>
      <c r="J819" s="210">
        <v>0</v>
      </c>
      <c r="K819" s="209">
        <v>0</v>
      </c>
      <c r="L819" s="209">
        <v>-70000</v>
      </c>
      <c r="M819" s="209">
        <v>0</v>
      </c>
      <c r="N819" s="242">
        <v>0</v>
      </c>
      <c r="O819" s="239"/>
    </row>
    <row r="820" spans="1:15" x14ac:dyDescent="0.35">
      <c r="A820" s="211" t="s">
        <v>1717</v>
      </c>
      <c r="B820" s="211" t="s">
        <v>1718</v>
      </c>
      <c r="C820" s="209">
        <v>24600</v>
      </c>
      <c r="D820" s="209">
        <v>0</v>
      </c>
      <c r="E820" s="209">
        <v>0</v>
      </c>
      <c r="F820" s="209">
        <v>24600</v>
      </c>
      <c r="G820" s="242">
        <v>-24600</v>
      </c>
      <c r="H820" s="239"/>
      <c r="I820" s="239"/>
      <c r="J820" s="210">
        <v>0</v>
      </c>
      <c r="K820" s="209">
        <v>0</v>
      </c>
      <c r="L820" s="209">
        <v>-24600</v>
      </c>
      <c r="M820" s="209">
        <v>0</v>
      </c>
      <c r="N820" s="242">
        <v>0</v>
      </c>
      <c r="O820" s="239"/>
    </row>
    <row r="821" spans="1:15" ht="23" x14ac:dyDescent="0.35">
      <c r="A821" s="211" t="s">
        <v>1719</v>
      </c>
      <c r="B821" s="211" t="s">
        <v>1720</v>
      </c>
      <c r="C821" s="209">
        <v>148900</v>
      </c>
      <c r="D821" s="209">
        <v>0</v>
      </c>
      <c r="E821" s="209">
        <v>0</v>
      </c>
      <c r="F821" s="209">
        <v>148900</v>
      </c>
      <c r="G821" s="242">
        <v>-148900</v>
      </c>
      <c r="H821" s="239"/>
      <c r="I821" s="239"/>
      <c r="J821" s="210">
        <v>0</v>
      </c>
      <c r="K821" s="209">
        <v>0</v>
      </c>
      <c r="L821" s="209">
        <v>-148900</v>
      </c>
      <c r="M821" s="209">
        <v>0</v>
      </c>
      <c r="N821" s="242">
        <v>0</v>
      </c>
      <c r="O821" s="239"/>
    </row>
    <row r="822" spans="1:15" x14ac:dyDescent="0.35">
      <c r="A822" s="211" t="s">
        <v>1721</v>
      </c>
      <c r="B822" s="211" t="s">
        <v>1722</v>
      </c>
      <c r="C822" s="209">
        <v>315000</v>
      </c>
      <c r="D822" s="209">
        <v>0</v>
      </c>
      <c r="E822" s="209">
        <v>0</v>
      </c>
      <c r="F822" s="209">
        <v>315000</v>
      </c>
      <c r="G822" s="242">
        <v>-315000</v>
      </c>
      <c r="H822" s="239"/>
      <c r="I822" s="239"/>
      <c r="J822" s="210">
        <v>0</v>
      </c>
      <c r="K822" s="209">
        <v>0</v>
      </c>
      <c r="L822" s="209">
        <v>-315000</v>
      </c>
      <c r="M822" s="209">
        <v>0</v>
      </c>
      <c r="N822" s="242">
        <v>0</v>
      </c>
      <c r="O822" s="239"/>
    </row>
    <row r="823" spans="1:15" x14ac:dyDescent="0.35">
      <c r="A823" s="211" t="s">
        <v>1723</v>
      </c>
      <c r="B823" s="211" t="s">
        <v>1724</v>
      </c>
      <c r="C823" s="209">
        <v>202000</v>
      </c>
      <c r="D823" s="209">
        <v>0</v>
      </c>
      <c r="E823" s="209">
        <v>0</v>
      </c>
      <c r="F823" s="209">
        <v>202000</v>
      </c>
      <c r="G823" s="242">
        <v>-202000</v>
      </c>
      <c r="H823" s="239"/>
      <c r="I823" s="239"/>
      <c r="J823" s="210">
        <v>0</v>
      </c>
      <c r="K823" s="209">
        <v>0</v>
      </c>
      <c r="L823" s="209">
        <v>-202000</v>
      </c>
      <c r="M823" s="209">
        <v>0</v>
      </c>
      <c r="N823" s="242">
        <v>0</v>
      </c>
      <c r="O823" s="239"/>
    </row>
    <row r="824" spans="1:15" x14ac:dyDescent="0.35">
      <c r="A824" s="211" t="s">
        <v>1725</v>
      </c>
      <c r="B824" s="211" t="s">
        <v>1505</v>
      </c>
      <c r="C824" s="209">
        <v>396000</v>
      </c>
      <c r="D824" s="209">
        <v>0</v>
      </c>
      <c r="E824" s="209">
        <v>0</v>
      </c>
      <c r="F824" s="209">
        <v>396000</v>
      </c>
      <c r="G824" s="242">
        <v>-396000</v>
      </c>
      <c r="H824" s="239"/>
      <c r="I824" s="239"/>
      <c r="J824" s="210">
        <v>0</v>
      </c>
      <c r="K824" s="209">
        <v>0</v>
      </c>
      <c r="L824" s="209">
        <v>-396000</v>
      </c>
      <c r="M824" s="209">
        <v>0</v>
      </c>
      <c r="N824" s="242">
        <v>0</v>
      </c>
      <c r="O824" s="239"/>
    </row>
    <row r="825" spans="1:15" ht="23" x14ac:dyDescent="0.35">
      <c r="A825" s="211" t="s">
        <v>1726</v>
      </c>
      <c r="B825" s="211" t="s">
        <v>1727</v>
      </c>
      <c r="C825" s="209">
        <v>100387</v>
      </c>
      <c r="D825" s="209">
        <v>0</v>
      </c>
      <c r="E825" s="209">
        <v>0</v>
      </c>
      <c r="F825" s="209">
        <v>100387</v>
      </c>
      <c r="G825" s="242">
        <v>-100387</v>
      </c>
      <c r="H825" s="239"/>
      <c r="I825" s="239"/>
      <c r="J825" s="210">
        <v>0</v>
      </c>
      <c r="K825" s="209">
        <v>0</v>
      </c>
      <c r="L825" s="209">
        <v>-100387</v>
      </c>
      <c r="M825" s="209">
        <v>0</v>
      </c>
      <c r="N825" s="242">
        <v>0</v>
      </c>
      <c r="O825" s="239"/>
    </row>
    <row r="826" spans="1:15" ht="23" x14ac:dyDescent="0.35">
      <c r="A826" s="211" t="s">
        <v>1728</v>
      </c>
      <c r="B826" s="211" t="s">
        <v>1729</v>
      </c>
      <c r="C826" s="209">
        <v>284000</v>
      </c>
      <c r="D826" s="209">
        <v>0</v>
      </c>
      <c r="E826" s="209">
        <v>0</v>
      </c>
      <c r="F826" s="209">
        <v>284000</v>
      </c>
      <c r="G826" s="242">
        <v>-284000</v>
      </c>
      <c r="H826" s="239"/>
      <c r="I826" s="239"/>
      <c r="J826" s="210">
        <v>0</v>
      </c>
      <c r="K826" s="209">
        <v>0</v>
      </c>
      <c r="L826" s="209">
        <v>-284000</v>
      </c>
      <c r="M826" s="209">
        <v>0</v>
      </c>
      <c r="N826" s="242">
        <v>0</v>
      </c>
      <c r="O826" s="239"/>
    </row>
    <row r="827" spans="1:15" x14ac:dyDescent="0.35">
      <c r="A827" s="211" t="s">
        <v>1730</v>
      </c>
      <c r="B827" s="211" t="s">
        <v>1731</v>
      </c>
      <c r="C827" s="209">
        <v>36500</v>
      </c>
      <c r="D827" s="209">
        <v>0</v>
      </c>
      <c r="E827" s="209">
        <v>0</v>
      </c>
      <c r="F827" s="209">
        <v>36500</v>
      </c>
      <c r="G827" s="242">
        <v>-36500</v>
      </c>
      <c r="H827" s="239"/>
      <c r="I827" s="239"/>
      <c r="J827" s="210">
        <v>0</v>
      </c>
      <c r="K827" s="209">
        <v>0</v>
      </c>
      <c r="L827" s="209">
        <v>-36500</v>
      </c>
      <c r="M827" s="209">
        <v>0</v>
      </c>
      <c r="N827" s="242">
        <v>0</v>
      </c>
      <c r="O827" s="239"/>
    </row>
    <row r="828" spans="1:15" x14ac:dyDescent="0.35">
      <c r="A828" s="211" t="s">
        <v>1732</v>
      </c>
      <c r="B828" s="211" t="s">
        <v>1733</v>
      </c>
      <c r="C828" s="209">
        <v>920000</v>
      </c>
      <c r="D828" s="209">
        <v>0</v>
      </c>
      <c r="E828" s="209">
        <v>0</v>
      </c>
      <c r="F828" s="209">
        <v>920000</v>
      </c>
      <c r="G828" s="242">
        <v>-920000</v>
      </c>
      <c r="H828" s="239"/>
      <c r="I828" s="239"/>
      <c r="J828" s="210">
        <v>0</v>
      </c>
      <c r="K828" s="209">
        <v>0</v>
      </c>
      <c r="L828" s="209">
        <v>-920000</v>
      </c>
      <c r="M828" s="209">
        <v>0</v>
      </c>
      <c r="N828" s="242">
        <v>0</v>
      </c>
      <c r="O828" s="239"/>
    </row>
    <row r="829" spans="1:15" x14ac:dyDescent="0.35">
      <c r="A829" s="211" t="s">
        <v>1734</v>
      </c>
      <c r="B829" s="211" t="s">
        <v>1735</v>
      </c>
      <c r="C829" s="209">
        <v>250000</v>
      </c>
      <c r="D829" s="209">
        <v>0</v>
      </c>
      <c r="E829" s="209">
        <v>0</v>
      </c>
      <c r="F829" s="209">
        <v>250000</v>
      </c>
      <c r="G829" s="242">
        <v>-250000</v>
      </c>
      <c r="H829" s="239"/>
      <c r="I829" s="239"/>
      <c r="J829" s="210">
        <v>0</v>
      </c>
      <c r="K829" s="209">
        <v>0</v>
      </c>
      <c r="L829" s="209">
        <v>-250000</v>
      </c>
      <c r="M829" s="209">
        <v>0</v>
      </c>
      <c r="N829" s="242">
        <v>0</v>
      </c>
      <c r="O829" s="239"/>
    </row>
    <row r="830" spans="1:15" x14ac:dyDescent="0.35">
      <c r="A830" s="211" t="s">
        <v>1736</v>
      </c>
      <c r="B830" s="211" t="s">
        <v>1737</v>
      </c>
      <c r="C830" s="209">
        <v>121000</v>
      </c>
      <c r="D830" s="209">
        <v>0</v>
      </c>
      <c r="E830" s="209">
        <v>0</v>
      </c>
      <c r="F830" s="209">
        <v>121000</v>
      </c>
      <c r="G830" s="242">
        <v>-121000</v>
      </c>
      <c r="H830" s="239"/>
      <c r="I830" s="239"/>
      <c r="J830" s="210">
        <v>0</v>
      </c>
      <c r="K830" s="209">
        <v>0</v>
      </c>
      <c r="L830" s="209">
        <v>-121000</v>
      </c>
      <c r="M830" s="209">
        <v>0</v>
      </c>
      <c r="N830" s="242">
        <v>0</v>
      </c>
      <c r="O830" s="239"/>
    </row>
    <row r="831" spans="1:15" ht="23" x14ac:dyDescent="0.35">
      <c r="A831" s="211" t="s">
        <v>1738</v>
      </c>
      <c r="B831" s="211" t="s">
        <v>817</v>
      </c>
      <c r="C831" s="209">
        <v>800282</v>
      </c>
      <c r="D831" s="209">
        <v>0</v>
      </c>
      <c r="E831" s="209">
        <v>0</v>
      </c>
      <c r="F831" s="209">
        <v>800282</v>
      </c>
      <c r="G831" s="242">
        <v>-800282</v>
      </c>
      <c r="H831" s="239"/>
      <c r="I831" s="239"/>
      <c r="J831" s="210">
        <v>0</v>
      </c>
      <c r="K831" s="209">
        <v>0</v>
      </c>
      <c r="L831" s="209">
        <v>-800282</v>
      </c>
      <c r="M831" s="209">
        <v>0</v>
      </c>
      <c r="N831" s="242">
        <v>0</v>
      </c>
      <c r="O831" s="239"/>
    </row>
    <row r="832" spans="1:15" ht="23" x14ac:dyDescent="0.35">
      <c r="A832" s="211" t="s">
        <v>1739</v>
      </c>
      <c r="B832" s="211" t="s">
        <v>1740</v>
      </c>
      <c r="C832" s="209">
        <v>150000</v>
      </c>
      <c r="D832" s="209">
        <v>0</v>
      </c>
      <c r="E832" s="209">
        <v>0</v>
      </c>
      <c r="F832" s="209">
        <v>150000</v>
      </c>
      <c r="G832" s="242">
        <v>-150000</v>
      </c>
      <c r="H832" s="239"/>
      <c r="I832" s="239"/>
      <c r="J832" s="210">
        <v>0</v>
      </c>
      <c r="K832" s="209">
        <v>0</v>
      </c>
      <c r="L832" s="209">
        <v>-150000</v>
      </c>
      <c r="M832" s="209">
        <v>0</v>
      </c>
      <c r="N832" s="242">
        <v>0</v>
      </c>
      <c r="O832" s="239"/>
    </row>
    <row r="833" spans="1:15" x14ac:dyDescent="0.35">
      <c r="A833" s="211" t="s">
        <v>1741</v>
      </c>
      <c r="B833" s="211" t="s">
        <v>1742</v>
      </c>
      <c r="C833" s="209">
        <v>69000</v>
      </c>
      <c r="D833" s="209">
        <v>0</v>
      </c>
      <c r="E833" s="209">
        <v>0</v>
      </c>
      <c r="F833" s="209">
        <v>69000</v>
      </c>
      <c r="G833" s="242">
        <v>-69000</v>
      </c>
      <c r="H833" s="239"/>
      <c r="I833" s="239"/>
      <c r="J833" s="210">
        <v>0</v>
      </c>
      <c r="K833" s="209">
        <v>0</v>
      </c>
      <c r="L833" s="209">
        <v>-69000</v>
      </c>
      <c r="M833" s="209">
        <v>0</v>
      </c>
      <c r="N833" s="242">
        <v>0</v>
      </c>
      <c r="O833" s="239"/>
    </row>
    <row r="834" spans="1:15" x14ac:dyDescent="0.35">
      <c r="A834" s="211" t="s">
        <v>1743</v>
      </c>
      <c r="B834" s="211" t="s">
        <v>1744</v>
      </c>
      <c r="C834" s="209">
        <v>99000</v>
      </c>
      <c r="D834" s="209">
        <v>0</v>
      </c>
      <c r="E834" s="209">
        <v>0</v>
      </c>
      <c r="F834" s="209">
        <v>99000</v>
      </c>
      <c r="G834" s="242">
        <v>-99000</v>
      </c>
      <c r="H834" s="239"/>
      <c r="I834" s="239"/>
      <c r="J834" s="210">
        <v>0</v>
      </c>
      <c r="K834" s="209">
        <v>0</v>
      </c>
      <c r="L834" s="209">
        <v>-99000</v>
      </c>
      <c r="M834" s="209">
        <v>0</v>
      </c>
      <c r="N834" s="242">
        <v>0</v>
      </c>
      <c r="O834" s="239"/>
    </row>
    <row r="835" spans="1:15" ht="23" x14ac:dyDescent="0.35">
      <c r="A835" s="211" t="s">
        <v>1745</v>
      </c>
      <c r="B835" s="211" t="s">
        <v>1746</v>
      </c>
      <c r="C835" s="209">
        <v>29000</v>
      </c>
      <c r="D835" s="209">
        <v>0</v>
      </c>
      <c r="E835" s="209">
        <v>0</v>
      </c>
      <c r="F835" s="209">
        <v>29000</v>
      </c>
      <c r="G835" s="242">
        <v>-29000</v>
      </c>
      <c r="H835" s="239"/>
      <c r="I835" s="239"/>
      <c r="J835" s="210">
        <v>0</v>
      </c>
      <c r="K835" s="209">
        <v>0</v>
      </c>
      <c r="L835" s="209">
        <v>-29000</v>
      </c>
      <c r="M835" s="209">
        <v>0</v>
      </c>
      <c r="N835" s="242">
        <v>0</v>
      </c>
      <c r="O835" s="239"/>
    </row>
    <row r="836" spans="1:15" ht="23" x14ac:dyDescent="0.35">
      <c r="A836" s="211" t="s">
        <v>1747</v>
      </c>
      <c r="B836" s="211" t="s">
        <v>1748</v>
      </c>
      <c r="C836" s="209">
        <v>120000</v>
      </c>
      <c r="D836" s="209">
        <v>0</v>
      </c>
      <c r="E836" s="209">
        <v>0</v>
      </c>
      <c r="F836" s="209">
        <v>120000</v>
      </c>
      <c r="G836" s="242">
        <v>-120000</v>
      </c>
      <c r="H836" s="239"/>
      <c r="I836" s="239"/>
      <c r="J836" s="210">
        <v>0</v>
      </c>
      <c r="K836" s="209">
        <v>0</v>
      </c>
      <c r="L836" s="209">
        <v>-120000</v>
      </c>
      <c r="M836" s="209">
        <v>0</v>
      </c>
      <c r="N836" s="242">
        <v>0</v>
      </c>
      <c r="O836" s="239"/>
    </row>
    <row r="837" spans="1:15" ht="23" x14ac:dyDescent="0.35">
      <c r="A837" s="211" t="s">
        <v>1749</v>
      </c>
      <c r="B837" s="211" t="s">
        <v>1750</v>
      </c>
      <c r="C837" s="209">
        <v>249835</v>
      </c>
      <c r="D837" s="209">
        <v>0</v>
      </c>
      <c r="E837" s="209">
        <v>0</v>
      </c>
      <c r="F837" s="209">
        <v>249835</v>
      </c>
      <c r="G837" s="242">
        <v>-249835</v>
      </c>
      <c r="H837" s="239"/>
      <c r="I837" s="239"/>
      <c r="J837" s="210">
        <v>0</v>
      </c>
      <c r="K837" s="209">
        <v>0</v>
      </c>
      <c r="L837" s="209">
        <v>-249835</v>
      </c>
      <c r="M837" s="209">
        <v>0</v>
      </c>
      <c r="N837" s="242">
        <v>0</v>
      </c>
      <c r="O837" s="239"/>
    </row>
    <row r="838" spans="1:15" ht="23" x14ac:dyDescent="0.35">
      <c r="A838" s="211" t="s">
        <v>1751</v>
      </c>
      <c r="B838" s="211" t="s">
        <v>1752</v>
      </c>
      <c r="C838" s="209">
        <v>78229</v>
      </c>
      <c r="D838" s="209">
        <v>0</v>
      </c>
      <c r="E838" s="209">
        <v>0</v>
      </c>
      <c r="F838" s="209">
        <v>78229</v>
      </c>
      <c r="G838" s="242">
        <v>-78229</v>
      </c>
      <c r="H838" s="239"/>
      <c r="I838" s="239"/>
      <c r="J838" s="210">
        <v>0</v>
      </c>
      <c r="K838" s="209">
        <v>0</v>
      </c>
      <c r="L838" s="209">
        <v>-78229</v>
      </c>
      <c r="M838" s="209">
        <v>0</v>
      </c>
      <c r="N838" s="242">
        <v>0</v>
      </c>
      <c r="O838" s="239"/>
    </row>
    <row r="839" spans="1:15" ht="23" x14ac:dyDescent="0.35">
      <c r="A839" s="211" t="s">
        <v>1753</v>
      </c>
      <c r="B839" s="211" t="s">
        <v>1754</v>
      </c>
      <c r="C839" s="209">
        <v>33135</v>
      </c>
      <c r="D839" s="209">
        <v>0</v>
      </c>
      <c r="E839" s="209">
        <v>0</v>
      </c>
      <c r="F839" s="209">
        <v>33135</v>
      </c>
      <c r="G839" s="242">
        <v>-33135</v>
      </c>
      <c r="H839" s="239"/>
      <c r="I839" s="239"/>
      <c r="J839" s="210">
        <v>0</v>
      </c>
      <c r="K839" s="209">
        <v>0</v>
      </c>
      <c r="L839" s="209">
        <v>-33135</v>
      </c>
      <c r="M839" s="209">
        <v>0</v>
      </c>
      <c r="N839" s="242">
        <v>0</v>
      </c>
      <c r="O839" s="239"/>
    </row>
    <row r="840" spans="1:15" ht="23" x14ac:dyDescent="0.35">
      <c r="A840" s="211" t="s">
        <v>1755</v>
      </c>
      <c r="B840" s="211" t="s">
        <v>1756</v>
      </c>
      <c r="C840" s="209">
        <v>138000</v>
      </c>
      <c r="D840" s="209">
        <v>0</v>
      </c>
      <c r="E840" s="209">
        <v>0</v>
      </c>
      <c r="F840" s="209">
        <v>138000</v>
      </c>
      <c r="G840" s="242">
        <v>-138000</v>
      </c>
      <c r="H840" s="239"/>
      <c r="I840" s="239"/>
      <c r="J840" s="210">
        <v>0</v>
      </c>
      <c r="K840" s="209">
        <v>0</v>
      </c>
      <c r="L840" s="209">
        <v>-138000</v>
      </c>
      <c r="M840" s="209">
        <v>0</v>
      </c>
      <c r="N840" s="242">
        <v>0</v>
      </c>
      <c r="O840" s="239"/>
    </row>
    <row r="841" spans="1:15" ht="23" x14ac:dyDescent="0.35">
      <c r="A841" s="211" t="s">
        <v>1757</v>
      </c>
      <c r="B841" s="211" t="s">
        <v>1758</v>
      </c>
      <c r="C841" s="209">
        <v>138000</v>
      </c>
      <c r="D841" s="209">
        <v>0</v>
      </c>
      <c r="E841" s="209">
        <v>0</v>
      </c>
      <c r="F841" s="209">
        <v>138000</v>
      </c>
      <c r="G841" s="242">
        <v>-138000</v>
      </c>
      <c r="H841" s="239"/>
      <c r="I841" s="239"/>
      <c r="J841" s="210">
        <v>0</v>
      </c>
      <c r="K841" s="209">
        <v>0</v>
      </c>
      <c r="L841" s="209">
        <v>-138000</v>
      </c>
      <c r="M841" s="209">
        <v>0</v>
      </c>
      <c r="N841" s="242">
        <v>0</v>
      </c>
      <c r="O841" s="239"/>
    </row>
    <row r="842" spans="1:15" x14ac:dyDescent="0.35">
      <c r="A842" s="211" t="s">
        <v>1759</v>
      </c>
      <c r="B842" s="211" t="s">
        <v>1760</v>
      </c>
      <c r="C842" s="209">
        <v>950768</v>
      </c>
      <c r="D842" s="209">
        <v>0</v>
      </c>
      <c r="E842" s="209">
        <v>0</v>
      </c>
      <c r="F842" s="209">
        <v>950768</v>
      </c>
      <c r="G842" s="242">
        <v>-950768</v>
      </c>
      <c r="H842" s="239"/>
      <c r="I842" s="239"/>
      <c r="J842" s="210">
        <v>0</v>
      </c>
      <c r="K842" s="209">
        <v>0</v>
      </c>
      <c r="L842" s="209">
        <v>-950768</v>
      </c>
      <c r="M842" s="209">
        <v>0</v>
      </c>
      <c r="N842" s="242">
        <v>0</v>
      </c>
      <c r="O842" s="239"/>
    </row>
    <row r="843" spans="1:15" x14ac:dyDescent="0.35">
      <c r="A843" s="211" t="s">
        <v>1761</v>
      </c>
      <c r="B843" s="211" t="s">
        <v>1762</v>
      </c>
      <c r="C843" s="209">
        <v>836800</v>
      </c>
      <c r="D843" s="209">
        <v>0</v>
      </c>
      <c r="E843" s="209">
        <v>0</v>
      </c>
      <c r="F843" s="209">
        <v>836800</v>
      </c>
      <c r="G843" s="242">
        <v>-836800</v>
      </c>
      <c r="H843" s="239"/>
      <c r="I843" s="239"/>
      <c r="J843" s="210">
        <v>0</v>
      </c>
      <c r="K843" s="209">
        <v>0</v>
      </c>
      <c r="L843" s="209">
        <v>-836800</v>
      </c>
      <c r="M843" s="209">
        <v>0</v>
      </c>
      <c r="N843" s="242">
        <v>0</v>
      </c>
      <c r="O843" s="239"/>
    </row>
    <row r="844" spans="1:15" x14ac:dyDescent="0.35">
      <c r="A844" s="211" t="s">
        <v>1763</v>
      </c>
      <c r="B844" s="211" t="s">
        <v>1764</v>
      </c>
      <c r="C844" s="209">
        <v>53811</v>
      </c>
      <c r="D844" s="209">
        <v>0</v>
      </c>
      <c r="E844" s="209">
        <v>0</v>
      </c>
      <c r="F844" s="209">
        <v>53811</v>
      </c>
      <c r="G844" s="242">
        <v>-53811</v>
      </c>
      <c r="H844" s="239"/>
      <c r="I844" s="239"/>
      <c r="J844" s="210">
        <v>0</v>
      </c>
      <c r="K844" s="209">
        <v>0</v>
      </c>
      <c r="L844" s="209">
        <v>-53811</v>
      </c>
      <c r="M844" s="209">
        <v>0</v>
      </c>
      <c r="N844" s="242">
        <v>0</v>
      </c>
      <c r="O844" s="239"/>
    </row>
    <row r="845" spans="1:15" ht="23" x14ac:dyDescent="0.35">
      <c r="A845" s="211" t="s">
        <v>1765</v>
      </c>
      <c r="B845" s="211" t="s">
        <v>1766</v>
      </c>
      <c r="C845" s="209">
        <v>67555</v>
      </c>
      <c r="D845" s="209">
        <v>0</v>
      </c>
      <c r="E845" s="209">
        <v>0</v>
      </c>
      <c r="F845" s="209">
        <v>67555</v>
      </c>
      <c r="G845" s="242">
        <v>-67555</v>
      </c>
      <c r="H845" s="239"/>
      <c r="I845" s="239"/>
      <c r="J845" s="210">
        <v>0</v>
      </c>
      <c r="K845" s="209">
        <v>0</v>
      </c>
      <c r="L845" s="209">
        <v>-67555</v>
      </c>
      <c r="M845" s="209">
        <v>0</v>
      </c>
      <c r="N845" s="242">
        <v>0</v>
      </c>
      <c r="O845" s="239"/>
    </row>
    <row r="846" spans="1:15" x14ac:dyDescent="0.35">
      <c r="A846" s="211" t="s">
        <v>1767</v>
      </c>
      <c r="B846" s="211" t="s">
        <v>1768</v>
      </c>
      <c r="C846" s="209">
        <v>51264</v>
      </c>
      <c r="D846" s="209">
        <v>0</v>
      </c>
      <c r="E846" s="209">
        <v>0</v>
      </c>
      <c r="F846" s="209">
        <v>51264</v>
      </c>
      <c r="G846" s="242">
        <v>-51264</v>
      </c>
      <c r="H846" s="239"/>
      <c r="I846" s="239"/>
      <c r="J846" s="210">
        <v>0</v>
      </c>
      <c r="K846" s="209">
        <v>0</v>
      </c>
      <c r="L846" s="209">
        <v>-51264</v>
      </c>
      <c r="M846" s="209">
        <v>0</v>
      </c>
      <c r="N846" s="242">
        <v>0</v>
      </c>
      <c r="O846" s="239"/>
    </row>
    <row r="847" spans="1:15" ht="23" x14ac:dyDescent="0.35">
      <c r="A847" s="211" t="s">
        <v>1769</v>
      </c>
      <c r="B847" s="211" t="s">
        <v>1770</v>
      </c>
      <c r="C847" s="209">
        <v>27137.07</v>
      </c>
      <c r="D847" s="209">
        <v>0</v>
      </c>
      <c r="E847" s="209">
        <v>0</v>
      </c>
      <c r="F847" s="209">
        <v>27137.07</v>
      </c>
      <c r="G847" s="242">
        <v>-27137.07</v>
      </c>
      <c r="H847" s="239"/>
      <c r="I847" s="239"/>
      <c r="J847" s="210">
        <v>0</v>
      </c>
      <c r="K847" s="209">
        <v>0</v>
      </c>
      <c r="L847" s="209">
        <v>-27137.07</v>
      </c>
      <c r="M847" s="209">
        <v>0</v>
      </c>
      <c r="N847" s="242">
        <v>0</v>
      </c>
      <c r="O847" s="239"/>
    </row>
    <row r="848" spans="1:15" x14ac:dyDescent="0.35">
      <c r="A848" s="211" t="s">
        <v>1771</v>
      </c>
      <c r="B848" s="211" t="s">
        <v>1475</v>
      </c>
      <c r="C848" s="209">
        <v>125000</v>
      </c>
      <c r="D848" s="209">
        <v>0</v>
      </c>
      <c r="E848" s="209">
        <v>0</v>
      </c>
      <c r="F848" s="209">
        <v>125000</v>
      </c>
      <c r="G848" s="242">
        <v>-125000</v>
      </c>
      <c r="H848" s="239"/>
      <c r="I848" s="239"/>
      <c r="J848" s="210">
        <v>0</v>
      </c>
      <c r="K848" s="209">
        <v>0</v>
      </c>
      <c r="L848" s="209">
        <v>-125000</v>
      </c>
      <c r="M848" s="209">
        <v>0</v>
      </c>
      <c r="N848" s="242">
        <v>0</v>
      </c>
      <c r="O848" s="239"/>
    </row>
    <row r="849" spans="1:15" x14ac:dyDescent="0.35">
      <c r="A849" s="211" t="s">
        <v>1772</v>
      </c>
      <c r="B849" s="211" t="s">
        <v>1773</v>
      </c>
      <c r="C849" s="209">
        <v>48100</v>
      </c>
      <c r="D849" s="209">
        <v>0</v>
      </c>
      <c r="E849" s="209">
        <v>0</v>
      </c>
      <c r="F849" s="209">
        <v>48100</v>
      </c>
      <c r="G849" s="242">
        <v>-48100</v>
      </c>
      <c r="H849" s="239"/>
      <c r="I849" s="239"/>
      <c r="J849" s="210">
        <v>0</v>
      </c>
      <c r="K849" s="209">
        <v>0</v>
      </c>
      <c r="L849" s="209">
        <v>-48100</v>
      </c>
      <c r="M849" s="209">
        <v>0</v>
      </c>
      <c r="N849" s="242">
        <v>0</v>
      </c>
      <c r="O849" s="239"/>
    </row>
    <row r="850" spans="1:15" ht="23" x14ac:dyDescent="0.35">
      <c r="A850" s="211" t="s">
        <v>1774</v>
      </c>
      <c r="B850" s="211" t="s">
        <v>1775</v>
      </c>
      <c r="C850" s="209">
        <v>432660</v>
      </c>
      <c r="D850" s="209">
        <v>0</v>
      </c>
      <c r="E850" s="209">
        <v>0</v>
      </c>
      <c r="F850" s="209">
        <v>432660</v>
      </c>
      <c r="G850" s="242">
        <v>-432660</v>
      </c>
      <c r="H850" s="239"/>
      <c r="I850" s="239"/>
      <c r="J850" s="210">
        <v>0</v>
      </c>
      <c r="K850" s="209">
        <v>0</v>
      </c>
      <c r="L850" s="209">
        <v>-432660</v>
      </c>
      <c r="M850" s="209">
        <v>0</v>
      </c>
      <c r="N850" s="242">
        <v>0</v>
      </c>
      <c r="O850" s="239"/>
    </row>
    <row r="851" spans="1:15" ht="23" x14ac:dyDescent="0.35">
      <c r="A851" s="211" t="s">
        <v>1776</v>
      </c>
      <c r="B851" s="211" t="s">
        <v>1777</v>
      </c>
      <c r="C851" s="209">
        <v>163384</v>
      </c>
      <c r="D851" s="209">
        <v>0</v>
      </c>
      <c r="E851" s="209">
        <v>0</v>
      </c>
      <c r="F851" s="209">
        <v>163384</v>
      </c>
      <c r="G851" s="242">
        <v>-163384</v>
      </c>
      <c r="H851" s="239"/>
      <c r="I851" s="239"/>
      <c r="J851" s="210">
        <v>0</v>
      </c>
      <c r="K851" s="209">
        <v>0</v>
      </c>
      <c r="L851" s="209">
        <v>-163384</v>
      </c>
      <c r="M851" s="209">
        <v>0</v>
      </c>
      <c r="N851" s="242">
        <v>0</v>
      </c>
      <c r="O851" s="239"/>
    </row>
    <row r="852" spans="1:15" ht="23" x14ac:dyDescent="0.35">
      <c r="A852" s="211" t="s">
        <v>1778</v>
      </c>
      <c r="B852" s="211" t="s">
        <v>1779</v>
      </c>
      <c r="C852" s="209">
        <v>100218</v>
      </c>
      <c r="D852" s="209">
        <v>0</v>
      </c>
      <c r="E852" s="209">
        <v>0</v>
      </c>
      <c r="F852" s="209">
        <v>100218</v>
      </c>
      <c r="G852" s="242">
        <v>-100218</v>
      </c>
      <c r="H852" s="239"/>
      <c r="I852" s="239"/>
      <c r="J852" s="210">
        <v>0</v>
      </c>
      <c r="K852" s="209">
        <v>0</v>
      </c>
      <c r="L852" s="209">
        <v>-100218</v>
      </c>
      <c r="M852" s="209">
        <v>0</v>
      </c>
      <c r="N852" s="242">
        <v>0</v>
      </c>
      <c r="O852" s="239"/>
    </row>
    <row r="853" spans="1:15" ht="23" x14ac:dyDescent="0.35">
      <c r="A853" s="211" t="s">
        <v>1780</v>
      </c>
      <c r="B853" s="211" t="s">
        <v>1781</v>
      </c>
      <c r="C853" s="209">
        <v>92382</v>
      </c>
      <c r="D853" s="209">
        <v>0</v>
      </c>
      <c r="E853" s="209">
        <v>0</v>
      </c>
      <c r="F853" s="209">
        <v>92382</v>
      </c>
      <c r="G853" s="242">
        <v>-92382</v>
      </c>
      <c r="H853" s="239"/>
      <c r="I853" s="239"/>
      <c r="J853" s="210">
        <v>0</v>
      </c>
      <c r="K853" s="209">
        <v>0</v>
      </c>
      <c r="L853" s="209">
        <v>-92382</v>
      </c>
      <c r="M853" s="209">
        <v>0</v>
      </c>
      <c r="N853" s="242">
        <v>0</v>
      </c>
      <c r="O853" s="239"/>
    </row>
    <row r="854" spans="1:15" ht="23" x14ac:dyDescent="0.35">
      <c r="A854" s="211" t="s">
        <v>1782</v>
      </c>
      <c r="B854" s="211" t="s">
        <v>1783</v>
      </c>
      <c r="C854" s="209">
        <v>34500</v>
      </c>
      <c r="D854" s="209">
        <v>0</v>
      </c>
      <c r="E854" s="209">
        <v>0</v>
      </c>
      <c r="F854" s="209">
        <v>34500</v>
      </c>
      <c r="G854" s="242">
        <v>-34500</v>
      </c>
      <c r="H854" s="239"/>
      <c r="I854" s="239"/>
      <c r="J854" s="210">
        <v>0</v>
      </c>
      <c r="K854" s="209">
        <v>0</v>
      </c>
      <c r="L854" s="209">
        <v>-34500</v>
      </c>
      <c r="M854" s="209">
        <v>0</v>
      </c>
      <c r="N854" s="242">
        <v>0</v>
      </c>
      <c r="O854" s="239"/>
    </row>
    <row r="855" spans="1:15" ht="23" x14ac:dyDescent="0.35">
      <c r="A855" s="211" t="s">
        <v>1784</v>
      </c>
      <c r="B855" s="211" t="s">
        <v>1785</v>
      </c>
      <c r="C855" s="209">
        <v>26441</v>
      </c>
      <c r="D855" s="209">
        <v>0</v>
      </c>
      <c r="E855" s="209">
        <v>0</v>
      </c>
      <c r="F855" s="209">
        <v>26441</v>
      </c>
      <c r="G855" s="242">
        <v>-26441</v>
      </c>
      <c r="H855" s="239"/>
      <c r="I855" s="239"/>
      <c r="J855" s="210">
        <v>0</v>
      </c>
      <c r="K855" s="209">
        <v>0</v>
      </c>
      <c r="L855" s="209">
        <v>-26441</v>
      </c>
      <c r="M855" s="209">
        <v>0</v>
      </c>
      <c r="N855" s="242">
        <v>0</v>
      </c>
      <c r="O855" s="239"/>
    </row>
    <row r="856" spans="1:15" ht="23" x14ac:dyDescent="0.35">
      <c r="A856" s="211" t="s">
        <v>1786</v>
      </c>
      <c r="B856" s="211" t="s">
        <v>1787</v>
      </c>
      <c r="C856" s="209">
        <v>199342</v>
      </c>
      <c r="D856" s="209">
        <v>0</v>
      </c>
      <c r="E856" s="209">
        <v>0</v>
      </c>
      <c r="F856" s="209">
        <v>199342</v>
      </c>
      <c r="G856" s="242">
        <v>-199342</v>
      </c>
      <c r="H856" s="239"/>
      <c r="I856" s="239"/>
      <c r="J856" s="210">
        <v>0</v>
      </c>
      <c r="K856" s="209">
        <v>0</v>
      </c>
      <c r="L856" s="209">
        <v>-199342</v>
      </c>
      <c r="M856" s="209">
        <v>0</v>
      </c>
      <c r="N856" s="242">
        <v>0</v>
      </c>
      <c r="O856" s="239"/>
    </row>
    <row r="857" spans="1:15" x14ac:dyDescent="0.35">
      <c r="A857" s="211" t="s">
        <v>1788</v>
      </c>
      <c r="B857" s="211" t="s">
        <v>1789</v>
      </c>
      <c r="C857" s="209">
        <v>154000</v>
      </c>
      <c r="D857" s="209">
        <v>0</v>
      </c>
      <c r="E857" s="209">
        <v>0</v>
      </c>
      <c r="F857" s="209">
        <v>154000</v>
      </c>
      <c r="G857" s="242">
        <v>-154000</v>
      </c>
      <c r="H857" s="239"/>
      <c r="I857" s="239"/>
      <c r="J857" s="210">
        <v>0</v>
      </c>
      <c r="K857" s="209">
        <v>0</v>
      </c>
      <c r="L857" s="209">
        <v>-154000</v>
      </c>
      <c r="M857" s="209">
        <v>0</v>
      </c>
      <c r="N857" s="242">
        <v>0</v>
      </c>
      <c r="O857" s="239"/>
    </row>
    <row r="858" spans="1:15" x14ac:dyDescent="0.35">
      <c r="A858" s="211" t="s">
        <v>1790</v>
      </c>
      <c r="B858" s="211" t="s">
        <v>1791</v>
      </c>
      <c r="C858" s="209">
        <v>63379</v>
      </c>
      <c r="D858" s="209">
        <v>0</v>
      </c>
      <c r="E858" s="209">
        <v>0</v>
      </c>
      <c r="F858" s="209">
        <v>63379</v>
      </c>
      <c r="G858" s="242">
        <v>-63379</v>
      </c>
      <c r="H858" s="239"/>
      <c r="I858" s="239"/>
      <c r="J858" s="210">
        <v>0</v>
      </c>
      <c r="K858" s="209">
        <v>0</v>
      </c>
      <c r="L858" s="209">
        <v>-63379</v>
      </c>
      <c r="M858" s="209">
        <v>0</v>
      </c>
      <c r="N858" s="242">
        <v>0</v>
      </c>
      <c r="O858" s="239"/>
    </row>
    <row r="859" spans="1:15" x14ac:dyDescent="0.35">
      <c r="A859" s="211" t="s">
        <v>1792</v>
      </c>
      <c r="B859" s="211" t="s">
        <v>1793</v>
      </c>
      <c r="C859" s="209">
        <v>388019</v>
      </c>
      <c r="D859" s="209">
        <v>0</v>
      </c>
      <c r="E859" s="209">
        <v>0</v>
      </c>
      <c r="F859" s="209">
        <v>388019</v>
      </c>
      <c r="G859" s="242">
        <v>-388019</v>
      </c>
      <c r="H859" s="239"/>
      <c r="I859" s="239"/>
      <c r="J859" s="210">
        <v>0</v>
      </c>
      <c r="K859" s="209">
        <v>0</v>
      </c>
      <c r="L859" s="209">
        <v>-388019</v>
      </c>
      <c r="M859" s="209">
        <v>0</v>
      </c>
      <c r="N859" s="242">
        <v>0</v>
      </c>
      <c r="O859" s="239"/>
    </row>
    <row r="860" spans="1:15" ht="23" x14ac:dyDescent="0.35">
      <c r="A860" s="211" t="s">
        <v>1794</v>
      </c>
      <c r="B860" s="211" t="s">
        <v>1795</v>
      </c>
      <c r="C860" s="209">
        <v>8114080</v>
      </c>
      <c r="D860" s="209">
        <v>0</v>
      </c>
      <c r="E860" s="209">
        <v>0</v>
      </c>
      <c r="F860" s="209">
        <v>8114080</v>
      </c>
      <c r="G860" s="242">
        <v>-8114080</v>
      </c>
      <c r="H860" s="239"/>
      <c r="I860" s="239"/>
      <c r="J860" s="210">
        <v>0</v>
      </c>
      <c r="K860" s="209">
        <v>0</v>
      </c>
      <c r="L860" s="209">
        <v>-8114080</v>
      </c>
      <c r="M860" s="209">
        <v>0</v>
      </c>
      <c r="N860" s="242">
        <v>0</v>
      </c>
      <c r="O860" s="239"/>
    </row>
    <row r="861" spans="1:15" x14ac:dyDescent="0.35">
      <c r="A861" s="211" t="s">
        <v>1796</v>
      </c>
      <c r="B861" s="211" t="s">
        <v>1797</v>
      </c>
      <c r="C861" s="209">
        <v>948740.88</v>
      </c>
      <c r="D861" s="209">
        <v>0</v>
      </c>
      <c r="E861" s="209">
        <v>0</v>
      </c>
      <c r="F861" s="209">
        <v>948740.88</v>
      </c>
      <c r="G861" s="242">
        <v>-948740.88</v>
      </c>
      <c r="H861" s="239"/>
      <c r="I861" s="239"/>
      <c r="J861" s="210">
        <v>0</v>
      </c>
      <c r="K861" s="209">
        <v>0</v>
      </c>
      <c r="L861" s="209">
        <v>-948740.88</v>
      </c>
      <c r="M861" s="209">
        <v>0</v>
      </c>
      <c r="N861" s="242">
        <v>0</v>
      </c>
      <c r="O861" s="239"/>
    </row>
    <row r="862" spans="1:15" x14ac:dyDescent="0.35">
      <c r="A862" s="243" t="s">
        <v>1798</v>
      </c>
      <c r="B862" s="244"/>
      <c r="C862" s="207">
        <v>133969074.93000001</v>
      </c>
      <c r="D862" s="207">
        <v>0</v>
      </c>
      <c r="E862" s="207">
        <v>0</v>
      </c>
      <c r="F862" s="207">
        <v>133969074.93000001</v>
      </c>
      <c r="G862" s="245">
        <v>-114395087.16</v>
      </c>
      <c r="H862" s="244"/>
      <c r="I862" s="244"/>
      <c r="J862" s="208">
        <v>-4009437.21</v>
      </c>
      <c r="K862" s="207">
        <v>0</v>
      </c>
      <c r="L862" s="207">
        <v>-118404524.37</v>
      </c>
      <c r="M862" s="207">
        <v>19573987.77</v>
      </c>
      <c r="N862" s="245">
        <v>15564550.560000001</v>
      </c>
      <c r="O862" s="244"/>
    </row>
    <row r="863" spans="1:15" ht="10" customHeight="1" x14ac:dyDescent="0.35">
      <c r="A863" s="249" t="s">
        <v>171</v>
      </c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</row>
    <row r="864" spans="1:15" ht="5.15" customHeight="1" x14ac:dyDescent="0.35">
      <c r="A864" s="248" t="s">
        <v>171</v>
      </c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</row>
    <row r="865" spans="1:15" ht="10" customHeight="1" x14ac:dyDescent="0.35">
      <c r="A865" s="249" t="s">
        <v>1799</v>
      </c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</row>
    <row r="866" spans="1:15" ht="23" x14ac:dyDescent="0.35">
      <c r="A866" s="211" t="s">
        <v>1800</v>
      </c>
      <c r="B866" s="211" t="s">
        <v>1801</v>
      </c>
      <c r="C866" s="209">
        <v>310000</v>
      </c>
      <c r="D866" s="209">
        <v>0</v>
      </c>
      <c r="E866" s="209">
        <v>0</v>
      </c>
      <c r="F866" s="209">
        <v>310000</v>
      </c>
      <c r="G866" s="242">
        <v>0</v>
      </c>
      <c r="H866" s="239"/>
      <c r="I866" s="239"/>
      <c r="J866" s="210">
        <v>0</v>
      </c>
      <c r="K866" s="209">
        <v>0</v>
      </c>
      <c r="L866" s="209">
        <v>0</v>
      </c>
      <c r="M866" s="209">
        <v>310000</v>
      </c>
      <c r="N866" s="242">
        <v>310000</v>
      </c>
      <c r="O866" s="239"/>
    </row>
    <row r="867" spans="1:15" x14ac:dyDescent="0.35">
      <c r="A867" s="243" t="s">
        <v>1802</v>
      </c>
      <c r="B867" s="244"/>
      <c r="C867" s="207">
        <v>310000</v>
      </c>
      <c r="D867" s="207">
        <v>0</v>
      </c>
      <c r="E867" s="207">
        <v>0</v>
      </c>
      <c r="F867" s="207">
        <v>310000</v>
      </c>
      <c r="G867" s="245">
        <v>0</v>
      </c>
      <c r="H867" s="244"/>
      <c r="I867" s="244"/>
      <c r="J867" s="208">
        <v>0</v>
      </c>
      <c r="K867" s="207">
        <v>0</v>
      </c>
      <c r="L867" s="207">
        <v>0</v>
      </c>
      <c r="M867" s="207">
        <v>310000</v>
      </c>
      <c r="N867" s="245">
        <v>310000</v>
      </c>
      <c r="O867" s="244"/>
    </row>
    <row r="868" spans="1:15" ht="10" customHeight="1" x14ac:dyDescent="0.35">
      <c r="A868" s="249" t="s">
        <v>171</v>
      </c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</row>
    <row r="869" spans="1:15" x14ac:dyDescent="0.35">
      <c r="A869" s="206" t="s">
        <v>171</v>
      </c>
      <c r="B869" s="205" t="s">
        <v>171</v>
      </c>
      <c r="C869" s="254" t="s">
        <v>171</v>
      </c>
      <c r="D869" s="247"/>
      <c r="E869" s="247"/>
      <c r="F869" s="247"/>
      <c r="G869" s="247"/>
      <c r="H869" s="247"/>
      <c r="I869" s="247"/>
      <c r="J869" s="247"/>
      <c r="K869" s="247"/>
      <c r="L869" s="247"/>
      <c r="M869" s="247"/>
      <c r="N869" s="247"/>
      <c r="O869" s="247"/>
    </row>
    <row r="870" spans="1:15" x14ac:dyDescent="0.35">
      <c r="A870" s="203" t="s">
        <v>171</v>
      </c>
      <c r="B870" s="203" t="s">
        <v>171</v>
      </c>
      <c r="C870" s="203" t="s">
        <v>171</v>
      </c>
      <c r="D870" s="203" t="s">
        <v>171</v>
      </c>
      <c r="E870" s="203" t="s">
        <v>171</v>
      </c>
      <c r="F870" s="203" t="s">
        <v>171</v>
      </c>
      <c r="G870" s="252" t="s">
        <v>171</v>
      </c>
      <c r="H870" s="239"/>
      <c r="I870" s="239"/>
      <c r="J870" s="204" t="s">
        <v>171</v>
      </c>
      <c r="K870" s="203" t="s">
        <v>171</v>
      </c>
      <c r="L870" s="203" t="s">
        <v>171</v>
      </c>
      <c r="M870" s="203" t="s">
        <v>171</v>
      </c>
      <c r="N870" s="252" t="s">
        <v>171</v>
      </c>
      <c r="O870" s="239"/>
    </row>
    <row r="871" spans="1:15" x14ac:dyDescent="0.35">
      <c r="A871" s="252" t="s">
        <v>1803</v>
      </c>
      <c r="B871" s="239"/>
      <c r="C871" s="201">
        <v>285825726.23000002</v>
      </c>
      <c r="D871" s="201">
        <v>0</v>
      </c>
      <c r="E871" s="201">
        <v>0</v>
      </c>
      <c r="F871" s="201">
        <v>285825726.23000002</v>
      </c>
      <c r="G871" s="253">
        <v>-258839837.69</v>
      </c>
      <c r="H871" s="239"/>
      <c r="I871" s="239"/>
      <c r="J871" s="202">
        <v>-5424003.6699999999</v>
      </c>
      <c r="K871" s="201">
        <v>0</v>
      </c>
      <c r="L871" s="201">
        <v>-264263841.36000001</v>
      </c>
      <c r="M871" s="201">
        <v>26985888.539999999</v>
      </c>
      <c r="N871" s="253">
        <v>21561884.870000001</v>
      </c>
      <c r="O871" s="239"/>
    </row>
    <row r="872" spans="1:15" ht="0" hidden="1" customHeight="1" x14ac:dyDescent="0.35"/>
  </sheetData>
  <mergeCells count="1711">
    <mergeCell ref="N867:O867"/>
    <mergeCell ref="A868:O868"/>
    <mergeCell ref="C869:O869"/>
    <mergeCell ref="A863:O863"/>
    <mergeCell ref="A864:O864"/>
    <mergeCell ref="A865:O865"/>
    <mergeCell ref="G866:I866"/>
    <mergeCell ref="N866:O866"/>
    <mergeCell ref="N853:O853"/>
    <mergeCell ref="G854:I854"/>
    <mergeCell ref="N854:O854"/>
    <mergeCell ref="G870:I870"/>
    <mergeCell ref="N870:O870"/>
    <mergeCell ref="N858:O858"/>
    <mergeCell ref="G859:I859"/>
    <mergeCell ref="N859:O859"/>
    <mergeCell ref="G852:I852"/>
    <mergeCell ref="N852:O852"/>
    <mergeCell ref="G853:I853"/>
    <mergeCell ref="G851:I851"/>
    <mergeCell ref="N851:O851"/>
    <mergeCell ref="G846:I846"/>
    <mergeCell ref="N846:O846"/>
    <mergeCell ref="G847:I847"/>
    <mergeCell ref="N847:O847"/>
    <mergeCell ref="G848:I848"/>
    <mergeCell ref="N848:O848"/>
    <mergeCell ref="G861:I861"/>
    <mergeCell ref="N861:O861"/>
    <mergeCell ref="A862:B862"/>
    <mergeCell ref="G862:I862"/>
    <mergeCell ref="N862:O862"/>
    <mergeCell ref="G849:I849"/>
    <mergeCell ref="N849:O849"/>
    <mergeCell ref="G850:I850"/>
    <mergeCell ref="N850:O850"/>
    <mergeCell ref="G843:I843"/>
    <mergeCell ref="N843:O843"/>
    <mergeCell ref="G844:I844"/>
    <mergeCell ref="G842:I842"/>
    <mergeCell ref="N842:O842"/>
    <mergeCell ref="G837:I837"/>
    <mergeCell ref="N837:O837"/>
    <mergeCell ref="G838:I838"/>
    <mergeCell ref="N838:O838"/>
    <mergeCell ref="G839:I839"/>
    <mergeCell ref="N839:O839"/>
    <mergeCell ref="A871:B871"/>
    <mergeCell ref="G871:I871"/>
    <mergeCell ref="N871:O871"/>
    <mergeCell ref="A867:B867"/>
    <mergeCell ref="G867:I867"/>
    <mergeCell ref="G860:I860"/>
    <mergeCell ref="N860:O860"/>
    <mergeCell ref="G855:I855"/>
    <mergeCell ref="N855:O855"/>
    <mergeCell ref="G856:I856"/>
    <mergeCell ref="N856:O856"/>
    <mergeCell ref="G857:I857"/>
    <mergeCell ref="N857:O857"/>
    <mergeCell ref="N844:O844"/>
    <mergeCell ref="G845:I845"/>
    <mergeCell ref="N845:O845"/>
    <mergeCell ref="G858:I858"/>
    <mergeCell ref="G840:I840"/>
    <mergeCell ref="N840:O840"/>
    <mergeCell ref="G841:I841"/>
    <mergeCell ref="N841:O841"/>
    <mergeCell ref="G834:I834"/>
    <mergeCell ref="N834:O834"/>
    <mergeCell ref="G835:I835"/>
    <mergeCell ref="G833:I833"/>
    <mergeCell ref="N833:O833"/>
    <mergeCell ref="G828:I828"/>
    <mergeCell ref="N828:O828"/>
    <mergeCell ref="G829:I829"/>
    <mergeCell ref="N829:O829"/>
    <mergeCell ref="G830:I830"/>
    <mergeCell ref="N830:O830"/>
    <mergeCell ref="N835:O835"/>
    <mergeCell ref="G836:I836"/>
    <mergeCell ref="N836:O836"/>
    <mergeCell ref="G831:I831"/>
    <mergeCell ref="N831:O831"/>
    <mergeCell ref="G832:I832"/>
    <mergeCell ref="N832:O832"/>
    <mergeCell ref="G825:I825"/>
    <mergeCell ref="N825:O825"/>
    <mergeCell ref="G826:I826"/>
    <mergeCell ref="G824:I824"/>
    <mergeCell ref="N824:O824"/>
    <mergeCell ref="G819:I819"/>
    <mergeCell ref="N819:O819"/>
    <mergeCell ref="G820:I820"/>
    <mergeCell ref="N820:O820"/>
    <mergeCell ref="G821:I821"/>
    <mergeCell ref="N821:O821"/>
    <mergeCell ref="N826:O826"/>
    <mergeCell ref="G827:I827"/>
    <mergeCell ref="N827:O827"/>
    <mergeCell ref="G822:I822"/>
    <mergeCell ref="N822:O822"/>
    <mergeCell ref="G823:I823"/>
    <mergeCell ref="N823:O823"/>
    <mergeCell ref="G816:I816"/>
    <mergeCell ref="N816:O816"/>
    <mergeCell ref="G817:I817"/>
    <mergeCell ref="G815:I815"/>
    <mergeCell ref="N815:O815"/>
    <mergeCell ref="G810:I810"/>
    <mergeCell ref="N810:O810"/>
    <mergeCell ref="G811:I811"/>
    <mergeCell ref="N811:O811"/>
    <mergeCell ref="G812:I812"/>
    <mergeCell ref="N812:O812"/>
    <mergeCell ref="N817:O817"/>
    <mergeCell ref="G818:I818"/>
    <mergeCell ref="N818:O818"/>
    <mergeCell ref="G813:I813"/>
    <mergeCell ref="N813:O813"/>
    <mergeCell ref="G814:I814"/>
    <mergeCell ref="N814:O814"/>
    <mergeCell ref="G807:I807"/>
    <mergeCell ref="N807:O807"/>
    <mergeCell ref="G808:I808"/>
    <mergeCell ref="G806:I806"/>
    <mergeCell ref="N806:O806"/>
    <mergeCell ref="G801:I801"/>
    <mergeCell ref="N801:O801"/>
    <mergeCell ref="G802:I802"/>
    <mergeCell ref="N802:O802"/>
    <mergeCell ref="G803:I803"/>
    <mergeCell ref="N803:O803"/>
    <mergeCell ref="N808:O808"/>
    <mergeCell ref="G809:I809"/>
    <mergeCell ref="N809:O809"/>
    <mergeCell ref="G804:I804"/>
    <mergeCell ref="N804:O804"/>
    <mergeCell ref="G805:I805"/>
    <mergeCell ref="N805:O805"/>
    <mergeCell ref="G798:I798"/>
    <mergeCell ref="N798:O798"/>
    <mergeCell ref="G799:I799"/>
    <mergeCell ref="G797:I797"/>
    <mergeCell ref="N797:O797"/>
    <mergeCell ref="G792:I792"/>
    <mergeCell ref="N792:O792"/>
    <mergeCell ref="G793:I793"/>
    <mergeCell ref="N793:O793"/>
    <mergeCell ref="G794:I794"/>
    <mergeCell ref="N794:O794"/>
    <mergeCell ref="N799:O799"/>
    <mergeCell ref="G800:I800"/>
    <mergeCell ref="N800:O800"/>
    <mergeCell ref="G795:I795"/>
    <mergeCell ref="N795:O795"/>
    <mergeCell ref="G796:I796"/>
    <mergeCell ref="N796:O796"/>
    <mergeCell ref="G789:I789"/>
    <mergeCell ref="N789:O789"/>
    <mergeCell ref="G790:I790"/>
    <mergeCell ref="G788:I788"/>
    <mergeCell ref="N788:O788"/>
    <mergeCell ref="G783:I783"/>
    <mergeCell ref="N783:O783"/>
    <mergeCell ref="G784:I784"/>
    <mergeCell ref="N784:O784"/>
    <mergeCell ref="G785:I785"/>
    <mergeCell ref="N785:O785"/>
    <mergeCell ref="N790:O790"/>
    <mergeCell ref="G791:I791"/>
    <mergeCell ref="N791:O791"/>
    <mergeCell ref="G786:I786"/>
    <mergeCell ref="N786:O786"/>
    <mergeCell ref="G787:I787"/>
    <mergeCell ref="N787:O787"/>
    <mergeCell ref="G780:I780"/>
    <mergeCell ref="N780:O780"/>
    <mergeCell ref="G781:I781"/>
    <mergeCell ref="G779:I779"/>
    <mergeCell ref="N779:O779"/>
    <mergeCell ref="G774:I774"/>
    <mergeCell ref="N774:O774"/>
    <mergeCell ref="G775:I775"/>
    <mergeCell ref="N775:O775"/>
    <mergeCell ref="G776:I776"/>
    <mergeCell ref="N776:O776"/>
    <mergeCell ref="N781:O781"/>
    <mergeCell ref="G782:I782"/>
    <mergeCell ref="N782:O782"/>
    <mergeCell ref="G777:I777"/>
    <mergeCell ref="N777:O777"/>
    <mergeCell ref="G778:I778"/>
    <mergeCell ref="N778:O778"/>
    <mergeCell ref="G771:I771"/>
    <mergeCell ref="N771:O771"/>
    <mergeCell ref="G772:I772"/>
    <mergeCell ref="G770:I770"/>
    <mergeCell ref="N770:O770"/>
    <mergeCell ref="G765:I765"/>
    <mergeCell ref="N765:O765"/>
    <mergeCell ref="G766:I766"/>
    <mergeCell ref="N766:O766"/>
    <mergeCell ref="G767:I767"/>
    <mergeCell ref="N767:O767"/>
    <mergeCell ref="N772:O772"/>
    <mergeCell ref="G773:I773"/>
    <mergeCell ref="N773:O773"/>
    <mergeCell ref="G768:I768"/>
    <mergeCell ref="N768:O768"/>
    <mergeCell ref="G769:I769"/>
    <mergeCell ref="N769:O769"/>
    <mergeCell ref="G762:I762"/>
    <mergeCell ref="N762:O762"/>
    <mergeCell ref="G763:I763"/>
    <mergeCell ref="G761:I761"/>
    <mergeCell ref="N761:O761"/>
    <mergeCell ref="G756:I756"/>
    <mergeCell ref="N756:O756"/>
    <mergeCell ref="G757:I757"/>
    <mergeCell ref="N757:O757"/>
    <mergeCell ref="G758:I758"/>
    <mergeCell ref="N758:O758"/>
    <mergeCell ref="N763:O763"/>
    <mergeCell ref="G764:I764"/>
    <mergeCell ref="N764:O764"/>
    <mergeCell ref="G759:I759"/>
    <mergeCell ref="N759:O759"/>
    <mergeCell ref="G760:I760"/>
    <mergeCell ref="N760:O760"/>
    <mergeCell ref="G753:I753"/>
    <mergeCell ref="N753:O753"/>
    <mergeCell ref="G754:I754"/>
    <mergeCell ref="G752:I752"/>
    <mergeCell ref="N752:O752"/>
    <mergeCell ref="G747:I747"/>
    <mergeCell ref="N747:O747"/>
    <mergeCell ref="G748:I748"/>
    <mergeCell ref="N748:O748"/>
    <mergeCell ref="G749:I749"/>
    <mergeCell ref="N749:O749"/>
    <mergeCell ref="N754:O754"/>
    <mergeCell ref="G755:I755"/>
    <mergeCell ref="N755:O755"/>
    <mergeCell ref="G750:I750"/>
    <mergeCell ref="N750:O750"/>
    <mergeCell ref="G751:I751"/>
    <mergeCell ref="N751:O751"/>
    <mergeCell ref="G744:I744"/>
    <mergeCell ref="N744:O744"/>
    <mergeCell ref="G745:I745"/>
    <mergeCell ref="G743:I743"/>
    <mergeCell ref="N743:O743"/>
    <mergeCell ref="G738:I738"/>
    <mergeCell ref="N738:O738"/>
    <mergeCell ref="G739:I739"/>
    <mergeCell ref="N739:O739"/>
    <mergeCell ref="G740:I740"/>
    <mergeCell ref="N740:O740"/>
    <mergeCell ref="N745:O745"/>
    <mergeCell ref="G746:I746"/>
    <mergeCell ref="N746:O746"/>
    <mergeCell ref="G741:I741"/>
    <mergeCell ref="N741:O741"/>
    <mergeCell ref="G742:I742"/>
    <mergeCell ref="N742:O742"/>
    <mergeCell ref="G735:I735"/>
    <mergeCell ref="N735:O735"/>
    <mergeCell ref="G736:I736"/>
    <mergeCell ref="G734:I734"/>
    <mergeCell ref="N734:O734"/>
    <mergeCell ref="G729:I729"/>
    <mergeCell ref="N729:O729"/>
    <mergeCell ref="G730:I730"/>
    <mergeCell ref="N730:O730"/>
    <mergeCell ref="G731:I731"/>
    <mergeCell ref="N731:O731"/>
    <mergeCell ref="N736:O736"/>
    <mergeCell ref="G737:I737"/>
    <mergeCell ref="N737:O737"/>
    <mergeCell ref="G732:I732"/>
    <mergeCell ref="N732:O732"/>
    <mergeCell ref="G733:I733"/>
    <mergeCell ref="N733:O733"/>
    <mergeCell ref="G726:I726"/>
    <mergeCell ref="N726:O726"/>
    <mergeCell ref="G727:I727"/>
    <mergeCell ref="G725:I725"/>
    <mergeCell ref="N725:O725"/>
    <mergeCell ref="G720:I720"/>
    <mergeCell ref="N720:O720"/>
    <mergeCell ref="G721:I721"/>
    <mergeCell ref="N721:O721"/>
    <mergeCell ref="G722:I722"/>
    <mergeCell ref="N722:O722"/>
    <mergeCell ref="N727:O727"/>
    <mergeCell ref="G728:I728"/>
    <mergeCell ref="N728:O728"/>
    <mergeCell ref="G723:I723"/>
    <mergeCell ref="N723:O723"/>
    <mergeCell ref="G724:I724"/>
    <mergeCell ref="N724:O724"/>
    <mergeCell ref="G717:I717"/>
    <mergeCell ref="N717:O717"/>
    <mergeCell ref="G718:I718"/>
    <mergeCell ref="G716:I716"/>
    <mergeCell ref="N716:O716"/>
    <mergeCell ref="G711:I711"/>
    <mergeCell ref="N711:O711"/>
    <mergeCell ref="G712:I712"/>
    <mergeCell ref="N712:O712"/>
    <mergeCell ref="G713:I713"/>
    <mergeCell ref="N713:O713"/>
    <mergeCell ref="N718:O718"/>
    <mergeCell ref="G719:I719"/>
    <mergeCell ref="N719:O719"/>
    <mergeCell ref="G714:I714"/>
    <mergeCell ref="N714:O714"/>
    <mergeCell ref="G715:I715"/>
    <mergeCell ref="N715:O715"/>
    <mergeCell ref="G708:I708"/>
    <mergeCell ref="N708:O708"/>
    <mergeCell ref="G709:I709"/>
    <mergeCell ref="G707:I707"/>
    <mergeCell ref="N707:O707"/>
    <mergeCell ref="G702:I702"/>
    <mergeCell ref="N702:O702"/>
    <mergeCell ref="G703:I703"/>
    <mergeCell ref="N703:O703"/>
    <mergeCell ref="G704:I704"/>
    <mergeCell ref="N704:O704"/>
    <mergeCell ref="N709:O709"/>
    <mergeCell ref="G710:I710"/>
    <mergeCell ref="N710:O710"/>
    <mergeCell ref="G705:I705"/>
    <mergeCell ref="N705:O705"/>
    <mergeCell ref="G706:I706"/>
    <mergeCell ref="N706:O706"/>
    <mergeCell ref="G699:I699"/>
    <mergeCell ref="N699:O699"/>
    <mergeCell ref="G700:I700"/>
    <mergeCell ref="G698:I698"/>
    <mergeCell ref="N698:O698"/>
    <mergeCell ref="G693:I693"/>
    <mergeCell ref="N693:O693"/>
    <mergeCell ref="G694:I694"/>
    <mergeCell ref="N694:O694"/>
    <mergeCell ref="G695:I695"/>
    <mergeCell ref="N695:O695"/>
    <mergeCell ref="N700:O700"/>
    <mergeCell ref="G701:I701"/>
    <mergeCell ref="N701:O701"/>
    <mergeCell ref="G696:I696"/>
    <mergeCell ref="N696:O696"/>
    <mergeCell ref="G697:I697"/>
    <mergeCell ref="N697:O697"/>
    <mergeCell ref="G690:I690"/>
    <mergeCell ref="N690:O690"/>
    <mergeCell ref="G691:I691"/>
    <mergeCell ref="G689:I689"/>
    <mergeCell ref="N689:O689"/>
    <mergeCell ref="G684:I684"/>
    <mergeCell ref="N684:O684"/>
    <mergeCell ref="G685:I685"/>
    <mergeCell ref="N685:O685"/>
    <mergeCell ref="G686:I686"/>
    <mergeCell ref="N686:O686"/>
    <mergeCell ref="N691:O691"/>
    <mergeCell ref="G692:I692"/>
    <mergeCell ref="N692:O692"/>
    <mergeCell ref="G687:I687"/>
    <mergeCell ref="N687:O687"/>
    <mergeCell ref="G688:I688"/>
    <mergeCell ref="N688:O688"/>
    <mergeCell ref="G681:I681"/>
    <mergeCell ref="N681:O681"/>
    <mergeCell ref="G682:I682"/>
    <mergeCell ref="G680:I680"/>
    <mergeCell ref="N680:O680"/>
    <mergeCell ref="G675:I675"/>
    <mergeCell ref="N675:O675"/>
    <mergeCell ref="G676:I676"/>
    <mergeCell ref="N676:O676"/>
    <mergeCell ref="G677:I677"/>
    <mergeCell ref="N677:O677"/>
    <mergeCell ref="N682:O682"/>
    <mergeCell ref="G683:I683"/>
    <mergeCell ref="N683:O683"/>
    <mergeCell ref="G678:I678"/>
    <mergeCell ref="N678:O678"/>
    <mergeCell ref="G679:I679"/>
    <mergeCell ref="N679:O679"/>
    <mergeCell ref="G672:I672"/>
    <mergeCell ref="N672:O672"/>
    <mergeCell ref="G673:I673"/>
    <mergeCell ref="G671:I671"/>
    <mergeCell ref="N671:O671"/>
    <mergeCell ref="G666:I666"/>
    <mergeCell ref="N666:O666"/>
    <mergeCell ref="G667:I667"/>
    <mergeCell ref="N667:O667"/>
    <mergeCell ref="G668:I668"/>
    <mergeCell ref="N668:O668"/>
    <mergeCell ref="N673:O673"/>
    <mergeCell ref="G674:I674"/>
    <mergeCell ref="N674:O674"/>
    <mergeCell ref="G669:I669"/>
    <mergeCell ref="N669:O669"/>
    <mergeCell ref="G670:I670"/>
    <mergeCell ref="N670:O670"/>
    <mergeCell ref="G663:I663"/>
    <mergeCell ref="N663:O663"/>
    <mergeCell ref="G664:I664"/>
    <mergeCell ref="G662:I662"/>
    <mergeCell ref="N662:O662"/>
    <mergeCell ref="G657:I657"/>
    <mergeCell ref="N657:O657"/>
    <mergeCell ref="G658:I658"/>
    <mergeCell ref="N658:O658"/>
    <mergeCell ref="G659:I659"/>
    <mergeCell ref="N659:O659"/>
    <mergeCell ref="N664:O664"/>
    <mergeCell ref="G665:I665"/>
    <mergeCell ref="N665:O665"/>
    <mergeCell ref="G660:I660"/>
    <mergeCell ref="N660:O660"/>
    <mergeCell ref="G661:I661"/>
    <mergeCell ref="N661:O661"/>
    <mergeCell ref="G654:I654"/>
    <mergeCell ref="N654:O654"/>
    <mergeCell ref="G655:I655"/>
    <mergeCell ref="G653:I653"/>
    <mergeCell ref="N653:O653"/>
    <mergeCell ref="G648:I648"/>
    <mergeCell ref="N648:O648"/>
    <mergeCell ref="G649:I649"/>
    <mergeCell ref="N649:O649"/>
    <mergeCell ref="G650:I650"/>
    <mergeCell ref="N650:O650"/>
    <mergeCell ref="N655:O655"/>
    <mergeCell ref="G656:I656"/>
    <mergeCell ref="N656:O656"/>
    <mergeCell ref="G651:I651"/>
    <mergeCell ref="N651:O651"/>
    <mergeCell ref="G652:I652"/>
    <mergeCell ref="N652:O652"/>
    <mergeCell ref="G645:I645"/>
    <mergeCell ref="N645:O645"/>
    <mergeCell ref="G646:I646"/>
    <mergeCell ref="G644:I644"/>
    <mergeCell ref="N644:O644"/>
    <mergeCell ref="G639:I639"/>
    <mergeCell ref="N639:O639"/>
    <mergeCell ref="G640:I640"/>
    <mergeCell ref="N640:O640"/>
    <mergeCell ref="G641:I641"/>
    <mergeCell ref="N641:O641"/>
    <mergeCell ref="N646:O646"/>
    <mergeCell ref="G647:I647"/>
    <mergeCell ref="N647:O647"/>
    <mergeCell ref="G642:I642"/>
    <mergeCell ref="N642:O642"/>
    <mergeCell ref="G643:I643"/>
    <mergeCell ref="N643:O643"/>
    <mergeCell ref="G636:I636"/>
    <mergeCell ref="N636:O636"/>
    <mergeCell ref="G637:I637"/>
    <mergeCell ref="G635:I635"/>
    <mergeCell ref="N635:O635"/>
    <mergeCell ref="G630:I630"/>
    <mergeCell ref="N630:O630"/>
    <mergeCell ref="G631:I631"/>
    <mergeCell ref="N631:O631"/>
    <mergeCell ref="G632:I632"/>
    <mergeCell ref="N632:O632"/>
    <mergeCell ref="N637:O637"/>
    <mergeCell ref="G638:I638"/>
    <mergeCell ref="N638:O638"/>
    <mergeCell ref="G633:I633"/>
    <mergeCell ref="N633:O633"/>
    <mergeCell ref="G634:I634"/>
    <mergeCell ref="N634:O634"/>
    <mergeCell ref="G627:I627"/>
    <mergeCell ref="N627:O627"/>
    <mergeCell ref="G628:I628"/>
    <mergeCell ref="G626:I626"/>
    <mergeCell ref="N626:O626"/>
    <mergeCell ref="G621:I621"/>
    <mergeCell ref="N621:O621"/>
    <mergeCell ref="G622:I622"/>
    <mergeCell ref="N622:O622"/>
    <mergeCell ref="G623:I623"/>
    <mergeCell ref="N623:O623"/>
    <mergeCell ref="N628:O628"/>
    <mergeCell ref="G629:I629"/>
    <mergeCell ref="N629:O629"/>
    <mergeCell ref="G624:I624"/>
    <mergeCell ref="N624:O624"/>
    <mergeCell ref="G625:I625"/>
    <mergeCell ref="N625:O625"/>
    <mergeCell ref="G618:I618"/>
    <mergeCell ref="N618:O618"/>
    <mergeCell ref="G619:I619"/>
    <mergeCell ref="G617:I617"/>
    <mergeCell ref="N617:O617"/>
    <mergeCell ref="G612:I612"/>
    <mergeCell ref="N612:O612"/>
    <mergeCell ref="G613:I613"/>
    <mergeCell ref="N613:O613"/>
    <mergeCell ref="G614:I614"/>
    <mergeCell ref="N614:O614"/>
    <mergeCell ref="N619:O619"/>
    <mergeCell ref="G620:I620"/>
    <mergeCell ref="N620:O620"/>
    <mergeCell ref="G615:I615"/>
    <mergeCell ref="N615:O615"/>
    <mergeCell ref="G616:I616"/>
    <mergeCell ref="N616:O616"/>
    <mergeCell ref="G609:I609"/>
    <mergeCell ref="N609:O609"/>
    <mergeCell ref="G610:I610"/>
    <mergeCell ref="G608:I608"/>
    <mergeCell ref="N608:O608"/>
    <mergeCell ref="G603:I603"/>
    <mergeCell ref="N603:O603"/>
    <mergeCell ref="G604:I604"/>
    <mergeCell ref="N604:O604"/>
    <mergeCell ref="G605:I605"/>
    <mergeCell ref="N605:O605"/>
    <mergeCell ref="N610:O610"/>
    <mergeCell ref="G611:I611"/>
    <mergeCell ref="N611:O611"/>
    <mergeCell ref="G606:I606"/>
    <mergeCell ref="N606:O606"/>
    <mergeCell ref="G607:I607"/>
    <mergeCell ref="N607:O607"/>
    <mergeCell ref="G600:I600"/>
    <mergeCell ref="N600:O600"/>
    <mergeCell ref="G601:I601"/>
    <mergeCell ref="G599:I599"/>
    <mergeCell ref="N599:O599"/>
    <mergeCell ref="G594:I594"/>
    <mergeCell ref="N594:O594"/>
    <mergeCell ref="G595:I595"/>
    <mergeCell ref="N595:O595"/>
    <mergeCell ref="G596:I596"/>
    <mergeCell ref="N596:O596"/>
    <mergeCell ref="N601:O601"/>
    <mergeCell ref="G602:I602"/>
    <mergeCell ref="N602:O602"/>
    <mergeCell ref="G597:I597"/>
    <mergeCell ref="N597:O597"/>
    <mergeCell ref="G598:I598"/>
    <mergeCell ref="N598:O598"/>
    <mergeCell ref="G591:I591"/>
    <mergeCell ref="N591:O591"/>
    <mergeCell ref="G592:I592"/>
    <mergeCell ref="G590:I590"/>
    <mergeCell ref="N590:O590"/>
    <mergeCell ref="G585:I585"/>
    <mergeCell ref="N585:O585"/>
    <mergeCell ref="G586:I586"/>
    <mergeCell ref="N586:O586"/>
    <mergeCell ref="G587:I587"/>
    <mergeCell ref="N587:O587"/>
    <mergeCell ref="N592:O592"/>
    <mergeCell ref="G593:I593"/>
    <mergeCell ref="N593:O593"/>
    <mergeCell ref="G588:I588"/>
    <mergeCell ref="N588:O588"/>
    <mergeCell ref="G589:I589"/>
    <mergeCell ref="N589:O589"/>
    <mergeCell ref="G582:I582"/>
    <mergeCell ref="N582:O582"/>
    <mergeCell ref="G583:I583"/>
    <mergeCell ref="G581:I581"/>
    <mergeCell ref="N581:O581"/>
    <mergeCell ref="G576:I576"/>
    <mergeCell ref="N576:O576"/>
    <mergeCell ref="G577:I577"/>
    <mergeCell ref="N577:O577"/>
    <mergeCell ref="G578:I578"/>
    <mergeCell ref="N578:O578"/>
    <mergeCell ref="N583:O583"/>
    <mergeCell ref="G584:I584"/>
    <mergeCell ref="N584:O584"/>
    <mergeCell ref="G579:I579"/>
    <mergeCell ref="N579:O579"/>
    <mergeCell ref="G580:I580"/>
    <mergeCell ref="N580:O580"/>
    <mergeCell ref="G573:I573"/>
    <mergeCell ref="N573:O573"/>
    <mergeCell ref="G574:I574"/>
    <mergeCell ref="G572:I572"/>
    <mergeCell ref="N572:O572"/>
    <mergeCell ref="G567:I567"/>
    <mergeCell ref="N567:O567"/>
    <mergeCell ref="G568:I568"/>
    <mergeCell ref="N568:O568"/>
    <mergeCell ref="G569:I569"/>
    <mergeCell ref="N569:O569"/>
    <mergeCell ref="N574:O574"/>
    <mergeCell ref="G575:I575"/>
    <mergeCell ref="N575:O575"/>
    <mergeCell ref="G570:I570"/>
    <mergeCell ref="N570:O570"/>
    <mergeCell ref="G571:I571"/>
    <mergeCell ref="N571:O571"/>
    <mergeCell ref="G564:I564"/>
    <mergeCell ref="N564:O564"/>
    <mergeCell ref="G565:I565"/>
    <mergeCell ref="G563:I563"/>
    <mergeCell ref="N563:O563"/>
    <mergeCell ref="G558:I558"/>
    <mergeCell ref="N558:O558"/>
    <mergeCell ref="G559:I559"/>
    <mergeCell ref="N559:O559"/>
    <mergeCell ref="G560:I560"/>
    <mergeCell ref="N560:O560"/>
    <mergeCell ref="N565:O565"/>
    <mergeCell ref="G566:I566"/>
    <mergeCell ref="N566:O566"/>
    <mergeCell ref="G561:I561"/>
    <mergeCell ref="N561:O561"/>
    <mergeCell ref="G562:I562"/>
    <mergeCell ref="N562:O562"/>
    <mergeCell ref="G555:I555"/>
    <mergeCell ref="N555:O555"/>
    <mergeCell ref="G556:I556"/>
    <mergeCell ref="G554:I554"/>
    <mergeCell ref="N554:O554"/>
    <mergeCell ref="G549:I549"/>
    <mergeCell ref="N549:O549"/>
    <mergeCell ref="G550:I550"/>
    <mergeCell ref="N550:O550"/>
    <mergeCell ref="G551:I551"/>
    <mergeCell ref="N551:O551"/>
    <mergeCell ref="N556:O556"/>
    <mergeCell ref="G557:I557"/>
    <mergeCell ref="N557:O557"/>
    <mergeCell ref="G552:I552"/>
    <mergeCell ref="N552:O552"/>
    <mergeCell ref="G553:I553"/>
    <mergeCell ref="N553:O553"/>
    <mergeCell ref="G546:I546"/>
    <mergeCell ref="N546:O546"/>
    <mergeCell ref="G547:I547"/>
    <mergeCell ref="G545:I545"/>
    <mergeCell ref="N545:O545"/>
    <mergeCell ref="G540:I540"/>
    <mergeCell ref="N540:O540"/>
    <mergeCell ref="G541:I541"/>
    <mergeCell ref="N541:O541"/>
    <mergeCell ref="G542:I542"/>
    <mergeCell ref="N542:O542"/>
    <mergeCell ref="N547:O547"/>
    <mergeCell ref="G548:I548"/>
    <mergeCell ref="N548:O548"/>
    <mergeCell ref="G543:I543"/>
    <mergeCell ref="N543:O543"/>
    <mergeCell ref="G544:I544"/>
    <mergeCell ref="N544:O544"/>
    <mergeCell ref="G537:I537"/>
    <mergeCell ref="N537:O537"/>
    <mergeCell ref="G538:I538"/>
    <mergeCell ref="G536:I536"/>
    <mergeCell ref="N536:O536"/>
    <mergeCell ref="G531:I531"/>
    <mergeCell ref="N531:O531"/>
    <mergeCell ref="G532:I532"/>
    <mergeCell ref="N532:O532"/>
    <mergeCell ref="G533:I533"/>
    <mergeCell ref="N533:O533"/>
    <mergeCell ref="N538:O538"/>
    <mergeCell ref="G539:I539"/>
    <mergeCell ref="N539:O539"/>
    <mergeCell ref="G534:I534"/>
    <mergeCell ref="N534:O534"/>
    <mergeCell ref="G535:I535"/>
    <mergeCell ref="N535:O535"/>
    <mergeCell ref="G528:I528"/>
    <mergeCell ref="N528:O528"/>
    <mergeCell ref="G529:I529"/>
    <mergeCell ref="G527:I527"/>
    <mergeCell ref="N527:O527"/>
    <mergeCell ref="G522:I522"/>
    <mergeCell ref="N522:O522"/>
    <mergeCell ref="G523:I523"/>
    <mergeCell ref="N523:O523"/>
    <mergeCell ref="G524:I524"/>
    <mergeCell ref="N524:O524"/>
    <mergeCell ref="N529:O529"/>
    <mergeCell ref="G530:I530"/>
    <mergeCell ref="N530:O530"/>
    <mergeCell ref="G525:I525"/>
    <mergeCell ref="N525:O525"/>
    <mergeCell ref="G526:I526"/>
    <mergeCell ref="N526:O526"/>
    <mergeCell ref="G519:I519"/>
    <mergeCell ref="N519:O519"/>
    <mergeCell ref="G520:I520"/>
    <mergeCell ref="G518:I518"/>
    <mergeCell ref="N518:O518"/>
    <mergeCell ref="G513:I513"/>
    <mergeCell ref="N513:O513"/>
    <mergeCell ref="G514:I514"/>
    <mergeCell ref="N514:O514"/>
    <mergeCell ref="G515:I515"/>
    <mergeCell ref="N515:O515"/>
    <mergeCell ref="N520:O520"/>
    <mergeCell ref="G521:I521"/>
    <mergeCell ref="N521:O521"/>
    <mergeCell ref="G516:I516"/>
    <mergeCell ref="N516:O516"/>
    <mergeCell ref="G517:I517"/>
    <mergeCell ref="N517:O517"/>
    <mergeCell ref="G510:I510"/>
    <mergeCell ref="N510:O510"/>
    <mergeCell ref="G511:I511"/>
    <mergeCell ref="G509:I509"/>
    <mergeCell ref="N509:O509"/>
    <mergeCell ref="G504:I504"/>
    <mergeCell ref="N504:O504"/>
    <mergeCell ref="G505:I505"/>
    <mergeCell ref="N505:O505"/>
    <mergeCell ref="G506:I506"/>
    <mergeCell ref="N506:O506"/>
    <mergeCell ref="N511:O511"/>
    <mergeCell ref="G512:I512"/>
    <mergeCell ref="N512:O512"/>
    <mergeCell ref="G507:I507"/>
    <mergeCell ref="N507:O507"/>
    <mergeCell ref="G508:I508"/>
    <mergeCell ref="N508:O508"/>
    <mergeCell ref="G501:I501"/>
    <mergeCell ref="N501:O501"/>
    <mergeCell ref="G502:I502"/>
    <mergeCell ref="G500:I500"/>
    <mergeCell ref="N500:O500"/>
    <mergeCell ref="G495:I495"/>
    <mergeCell ref="N495:O495"/>
    <mergeCell ref="G496:I496"/>
    <mergeCell ref="N496:O496"/>
    <mergeCell ref="G497:I497"/>
    <mergeCell ref="N497:O497"/>
    <mergeCell ref="N502:O502"/>
    <mergeCell ref="G503:I503"/>
    <mergeCell ref="N503:O503"/>
    <mergeCell ref="G498:I498"/>
    <mergeCell ref="N498:O498"/>
    <mergeCell ref="G499:I499"/>
    <mergeCell ref="N499:O499"/>
    <mergeCell ref="G492:I492"/>
    <mergeCell ref="N492:O492"/>
    <mergeCell ref="G493:I493"/>
    <mergeCell ref="G491:I491"/>
    <mergeCell ref="N491:O491"/>
    <mergeCell ref="G486:I486"/>
    <mergeCell ref="N486:O486"/>
    <mergeCell ref="G487:I487"/>
    <mergeCell ref="N487:O487"/>
    <mergeCell ref="G488:I488"/>
    <mergeCell ref="N488:O488"/>
    <mergeCell ref="N493:O493"/>
    <mergeCell ref="G494:I494"/>
    <mergeCell ref="N494:O494"/>
    <mergeCell ref="G489:I489"/>
    <mergeCell ref="N489:O489"/>
    <mergeCell ref="G490:I490"/>
    <mergeCell ref="N490:O490"/>
    <mergeCell ref="G483:I483"/>
    <mergeCell ref="N483:O483"/>
    <mergeCell ref="G484:I484"/>
    <mergeCell ref="G482:I482"/>
    <mergeCell ref="N482:O482"/>
    <mergeCell ref="G477:I477"/>
    <mergeCell ref="N477:O477"/>
    <mergeCell ref="G478:I478"/>
    <mergeCell ref="N478:O478"/>
    <mergeCell ref="G479:I479"/>
    <mergeCell ref="N479:O479"/>
    <mergeCell ref="N484:O484"/>
    <mergeCell ref="G485:I485"/>
    <mergeCell ref="N485:O485"/>
    <mergeCell ref="G480:I480"/>
    <mergeCell ref="N480:O480"/>
    <mergeCell ref="G481:I481"/>
    <mergeCell ref="N481:O481"/>
    <mergeCell ref="G474:I474"/>
    <mergeCell ref="N474:O474"/>
    <mergeCell ref="G475:I475"/>
    <mergeCell ref="G473:I473"/>
    <mergeCell ref="N473:O473"/>
    <mergeCell ref="G468:I468"/>
    <mergeCell ref="N468:O468"/>
    <mergeCell ref="G469:I469"/>
    <mergeCell ref="N469:O469"/>
    <mergeCell ref="G470:I470"/>
    <mergeCell ref="N470:O470"/>
    <mergeCell ref="N475:O475"/>
    <mergeCell ref="G476:I476"/>
    <mergeCell ref="N476:O476"/>
    <mergeCell ref="G471:I471"/>
    <mergeCell ref="N471:O471"/>
    <mergeCell ref="G472:I472"/>
    <mergeCell ref="N472:O472"/>
    <mergeCell ref="G465:I465"/>
    <mergeCell ref="N465:O465"/>
    <mergeCell ref="G466:I466"/>
    <mergeCell ref="G464:I464"/>
    <mergeCell ref="N464:O464"/>
    <mergeCell ref="G459:I459"/>
    <mergeCell ref="N459:O459"/>
    <mergeCell ref="G460:I460"/>
    <mergeCell ref="N460:O460"/>
    <mergeCell ref="G461:I461"/>
    <mergeCell ref="N461:O461"/>
    <mergeCell ref="N466:O466"/>
    <mergeCell ref="G467:I467"/>
    <mergeCell ref="N467:O467"/>
    <mergeCell ref="G462:I462"/>
    <mergeCell ref="N462:O462"/>
    <mergeCell ref="G463:I463"/>
    <mergeCell ref="N463:O463"/>
    <mergeCell ref="G456:I456"/>
    <mergeCell ref="N456:O456"/>
    <mergeCell ref="G457:I457"/>
    <mergeCell ref="G455:I455"/>
    <mergeCell ref="N455:O455"/>
    <mergeCell ref="G450:I450"/>
    <mergeCell ref="N450:O450"/>
    <mergeCell ref="G451:I451"/>
    <mergeCell ref="N451:O451"/>
    <mergeCell ref="G452:I452"/>
    <mergeCell ref="N452:O452"/>
    <mergeCell ref="N457:O457"/>
    <mergeCell ref="G458:I458"/>
    <mergeCell ref="N458:O458"/>
    <mergeCell ref="G453:I453"/>
    <mergeCell ref="N453:O453"/>
    <mergeCell ref="G454:I454"/>
    <mergeCell ref="N454:O454"/>
    <mergeCell ref="G447:I447"/>
    <mergeCell ref="N447:O447"/>
    <mergeCell ref="G448:I448"/>
    <mergeCell ref="G446:I446"/>
    <mergeCell ref="N446:O446"/>
    <mergeCell ref="G441:I441"/>
    <mergeCell ref="N441:O441"/>
    <mergeCell ref="G442:I442"/>
    <mergeCell ref="N442:O442"/>
    <mergeCell ref="G443:I443"/>
    <mergeCell ref="N443:O443"/>
    <mergeCell ref="N448:O448"/>
    <mergeCell ref="G449:I449"/>
    <mergeCell ref="N449:O449"/>
    <mergeCell ref="G444:I444"/>
    <mergeCell ref="N444:O444"/>
    <mergeCell ref="G445:I445"/>
    <mergeCell ref="N445:O445"/>
    <mergeCell ref="G438:I438"/>
    <mergeCell ref="N438:O438"/>
    <mergeCell ref="G439:I439"/>
    <mergeCell ref="G437:I437"/>
    <mergeCell ref="N437:O437"/>
    <mergeCell ref="G432:I432"/>
    <mergeCell ref="N432:O432"/>
    <mergeCell ref="G433:I433"/>
    <mergeCell ref="N433:O433"/>
    <mergeCell ref="G434:I434"/>
    <mergeCell ref="N434:O434"/>
    <mergeCell ref="N439:O439"/>
    <mergeCell ref="G440:I440"/>
    <mergeCell ref="N440:O440"/>
    <mergeCell ref="G435:I435"/>
    <mergeCell ref="N435:O435"/>
    <mergeCell ref="G436:I436"/>
    <mergeCell ref="N436:O436"/>
    <mergeCell ref="G429:I429"/>
    <mergeCell ref="N429:O429"/>
    <mergeCell ref="G430:I430"/>
    <mergeCell ref="G428:I428"/>
    <mergeCell ref="N428:O428"/>
    <mergeCell ref="G423:I423"/>
    <mergeCell ref="N423:O423"/>
    <mergeCell ref="G424:I424"/>
    <mergeCell ref="N424:O424"/>
    <mergeCell ref="G425:I425"/>
    <mergeCell ref="N425:O425"/>
    <mergeCell ref="N430:O430"/>
    <mergeCell ref="G431:I431"/>
    <mergeCell ref="N431:O431"/>
    <mergeCell ref="G426:I426"/>
    <mergeCell ref="N426:O426"/>
    <mergeCell ref="G427:I427"/>
    <mergeCell ref="N427:O427"/>
    <mergeCell ref="G420:I420"/>
    <mergeCell ref="N420:O420"/>
    <mergeCell ref="G421:I421"/>
    <mergeCell ref="G419:I419"/>
    <mergeCell ref="N419:O419"/>
    <mergeCell ref="G414:I414"/>
    <mergeCell ref="N414:O414"/>
    <mergeCell ref="G415:I415"/>
    <mergeCell ref="N415:O415"/>
    <mergeCell ref="G416:I416"/>
    <mergeCell ref="N416:O416"/>
    <mergeCell ref="N421:O421"/>
    <mergeCell ref="G422:I422"/>
    <mergeCell ref="N422:O422"/>
    <mergeCell ref="G417:I417"/>
    <mergeCell ref="N417:O417"/>
    <mergeCell ref="G418:I418"/>
    <mergeCell ref="N418:O418"/>
    <mergeCell ref="G411:I411"/>
    <mergeCell ref="N411:O411"/>
    <mergeCell ref="G412:I412"/>
    <mergeCell ref="G410:I410"/>
    <mergeCell ref="N410:O410"/>
    <mergeCell ref="G405:I405"/>
    <mergeCell ref="N405:O405"/>
    <mergeCell ref="G406:I406"/>
    <mergeCell ref="N406:O406"/>
    <mergeCell ref="G407:I407"/>
    <mergeCell ref="N407:O407"/>
    <mergeCell ref="N412:O412"/>
    <mergeCell ref="G413:I413"/>
    <mergeCell ref="N413:O413"/>
    <mergeCell ref="G408:I408"/>
    <mergeCell ref="N408:O408"/>
    <mergeCell ref="G409:I409"/>
    <mergeCell ref="N409:O409"/>
    <mergeCell ref="G402:I402"/>
    <mergeCell ref="N402:O402"/>
    <mergeCell ref="G403:I403"/>
    <mergeCell ref="G401:I401"/>
    <mergeCell ref="N401:O401"/>
    <mergeCell ref="G396:I396"/>
    <mergeCell ref="N396:O396"/>
    <mergeCell ref="G397:I397"/>
    <mergeCell ref="N397:O397"/>
    <mergeCell ref="G398:I398"/>
    <mergeCell ref="N398:O398"/>
    <mergeCell ref="N403:O403"/>
    <mergeCell ref="G404:I404"/>
    <mergeCell ref="N404:O404"/>
    <mergeCell ref="G399:I399"/>
    <mergeCell ref="N399:O399"/>
    <mergeCell ref="G400:I400"/>
    <mergeCell ref="N400:O400"/>
    <mergeCell ref="G393:I393"/>
    <mergeCell ref="N393:O393"/>
    <mergeCell ref="G394:I394"/>
    <mergeCell ref="G392:I392"/>
    <mergeCell ref="N392:O392"/>
    <mergeCell ref="G387:I387"/>
    <mergeCell ref="N387:O387"/>
    <mergeCell ref="G388:I388"/>
    <mergeCell ref="N388:O388"/>
    <mergeCell ref="G389:I389"/>
    <mergeCell ref="N389:O389"/>
    <mergeCell ref="N394:O394"/>
    <mergeCell ref="G395:I395"/>
    <mergeCell ref="N395:O395"/>
    <mergeCell ref="G390:I390"/>
    <mergeCell ref="N390:O390"/>
    <mergeCell ref="G391:I391"/>
    <mergeCell ref="N391:O391"/>
    <mergeCell ref="G384:I384"/>
    <mergeCell ref="N384:O384"/>
    <mergeCell ref="G385:I385"/>
    <mergeCell ref="G383:I383"/>
    <mergeCell ref="N383:O383"/>
    <mergeCell ref="G378:I378"/>
    <mergeCell ref="N378:O378"/>
    <mergeCell ref="G379:I379"/>
    <mergeCell ref="N379:O379"/>
    <mergeCell ref="G380:I380"/>
    <mergeCell ref="N380:O380"/>
    <mergeCell ref="N385:O385"/>
    <mergeCell ref="G386:I386"/>
    <mergeCell ref="N386:O386"/>
    <mergeCell ref="G381:I381"/>
    <mergeCell ref="N381:O381"/>
    <mergeCell ref="G382:I382"/>
    <mergeCell ref="N382:O382"/>
    <mergeCell ref="G375:I375"/>
    <mergeCell ref="N375:O375"/>
    <mergeCell ref="G376:I376"/>
    <mergeCell ref="G374:I374"/>
    <mergeCell ref="N374:O374"/>
    <mergeCell ref="G369:I369"/>
    <mergeCell ref="N369:O369"/>
    <mergeCell ref="G370:I370"/>
    <mergeCell ref="N370:O370"/>
    <mergeCell ref="G371:I371"/>
    <mergeCell ref="N371:O371"/>
    <mergeCell ref="N376:O376"/>
    <mergeCell ref="G377:I377"/>
    <mergeCell ref="N377:O377"/>
    <mergeCell ref="G372:I372"/>
    <mergeCell ref="N372:O372"/>
    <mergeCell ref="G373:I373"/>
    <mergeCell ref="N373:O373"/>
    <mergeCell ref="G366:I366"/>
    <mergeCell ref="N366:O366"/>
    <mergeCell ref="G367:I367"/>
    <mergeCell ref="G365:I365"/>
    <mergeCell ref="N365:O365"/>
    <mergeCell ref="G360:I360"/>
    <mergeCell ref="N360:O360"/>
    <mergeCell ref="G361:I361"/>
    <mergeCell ref="N361:O361"/>
    <mergeCell ref="G362:I362"/>
    <mergeCell ref="N362:O362"/>
    <mergeCell ref="N367:O367"/>
    <mergeCell ref="G368:I368"/>
    <mergeCell ref="N368:O368"/>
    <mergeCell ref="G363:I363"/>
    <mergeCell ref="N363:O363"/>
    <mergeCell ref="G364:I364"/>
    <mergeCell ref="N364:O364"/>
    <mergeCell ref="G357:I357"/>
    <mergeCell ref="N357:O357"/>
    <mergeCell ref="G358:I358"/>
    <mergeCell ref="G356:I356"/>
    <mergeCell ref="N356:O356"/>
    <mergeCell ref="G351:I351"/>
    <mergeCell ref="N351:O351"/>
    <mergeCell ref="G352:I352"/>
    <mergeCell ref="N352:O352"/>
    <mergeCell ref="G353:I353"/>
    <mergeCell ref="N353:O353"/>
    <mergeCell ref="N358:O358"/>
    <mergeCell ref="G359:I359"/>
    <mergeCell ref="N359:O359"/>
    <mergeCell ref="G354:I354"/>
    <mergeCell ref="N354:O354"/>
    <mergeCell ref="G355:I355"/>
    <mergeCell ref="N355:O355"/>
    <mergeCell ref="G348:I348"/>
    <mergeCell ref="N348:O348"/>
    <mergeCell ref="G349:I349"/>
    <mergeCell ref="G347:I347"/>
    <mergeCell ref="N347:O347"/>
    <mergeCell ref="G342:I342"/>
    <mergeCell ref="N342:O342"/>
    <mergeCell ref="G343:I343"/>
    <mergeCell ref="N343:O343"/>
    <mergeCell ref="G344:I344"/>
    <mergeCell ref="N344:O344"/>
    <mergeCell ref="N349:O349"/>
    <mergeCell ref="G350:I350"/>
    <mergeCell ref="N350:O350"/>
    <mergeCell ref="G345:I345"/>
    <mergeCell ref="N345:O345"/>
    <mergeCell ref="G346:I346"/>
    <mergeCell ref="N346:O346"/>
    <mergeCell ref="G339:I339"/>
    <mergeCell ref="N339:O339"/>
    <mergeCell ref="G340:I340"/>
    <mergeCell ref="G338:I338"/>
    <mergeCell ref="N338:O338"/>
    <mergeCell ref="G333:I333"/>
    <mergeCell ref="N333:O333"/>
    <mergeCell ref="G334:I334"/>
    <mergeCell ref="N334:O334"/>
    <mergeCell ref="G335:I335"/>
    <mergeCell ref="N335:O335"/>
    <mergeCell ref="N340:O340"/>
    <mergeCell ref="G341:I341"/>
    <mergeCell ref="N341:O341"/>
    <mergeCell ref="G336:I336"/>
    <mergeCell ref="N336:O336"/>
    <mergeCell ref="G337:I337"/>
    <mergeCell ref="N337:O337"/>
    <mergeCell ref="G330:I330"/>
    <mergeCell ref="N330:O330"/>
    <mergeCell ref="G331:I331"/>
    <mergeCell ref="G329:I329"/>
    <mergeCell ref="N329:O329"/>
    <mergeCell ref="G324:I324"/>
    <mergeCell ref="N324:O324"/>
    <mergeCell ref="G325:I325"/>
    <mergeCell ref="N325:O325"/>
    <mergeCell ref="G326:I326"/>
    <mergeCell ref="N326:O326"/>
    <mergeCell ref="N331:O331"/>
    <mergeCell ref="G332:I332"/>
    <mergeCell ref="N332:O332"/>
    <mergeCell ref="G327:I327"/>
    <mergeCell ref="N327:O327"/>
    <mergeCell ref="G328:I328"/>
    <mergeCell ref="N328:O328"/>
    <mergeCell ref="G321:I321"/>
    <mergeCell ref="N321:O321"/>
    <mergeCell ref="G322:I322"/>
    <mergeCell ref="G320:I320"/>
    <mergeCell ref="N320:O320"/>
    <mergeCell ref="G314:I314"/>
    <mergeCell ref="N314:O314"/>
    <mergeCell ref="G315:I315"/>
    <mergeCell ref="N315:O315"/>
    <mergeCell ref="G316:I316"/>
    <mergeCell ref="N316:O316"/>
    <mergeCell ref="N322:O322"/>
    <mergeCell ref="G323:I323"/>
    <mergeCell ref="N323:O323"/>
    <mergeCell ref="N302:O302"/>
    <mergeCell ref="G303:I303"/>
    <mergeCell ref="N303:O303"/>
    <mergeCell ref="A317:O317"/>
    <mergeCell ref="A318:O318"/>
    <mergeCell ref="A319:O319"/>
    <mergeCell ref="A316:B316"/>
    <mergeCell ref="G311:I311"/>
    <mergeCell ref="N311:O311"/>
    <mergeCell ref="G312:I312"/>
    <mergeCell ref="A308:O308"/>
    <mergeCell ref="A309:O309"/>
    <mergeCell ref="G310:I310"/>
    <mergeCell ref="N310:O310"/>
    <mergeCell ref="G304:I304"/>
    <mergeCell ref="N304:O304"/>
    <mergeCell ref="G305:I305"/>
    <mergeCell ref="N305:O305"/>
    <mergeCell ref="A306:B306"/>
    <mergeCell ref="G306:I306"/>
    <mergeCell ref="N312:O312"/>
    <mergeCell ref="G313:I313"/>
    <mergeCell ref="N313:O313"/>
    <mergeCell ref="G289:I289"/>
    <mergeCell ref="N289:O289"/>
    <mergeCell ref="A290:B290"/>
    <mergeCell ref="G290:I290"/>
    <mergeCell ref="N290:O290"/>
    <mergeCell ref="G286:I286"/>
    <mergeCell ref="N286:O286"/>
    <mergeCell ref="G287:I287"/>
    <mergeCell ref="N287:O287"/>
    <mergeCell ref="G288:I288"/>
    <mergeCell ref="A291:O291"/>
    <mergeCell ref="A292:O292"/>
    <mergeCell ref="A293:O293"/>
    <mergeCell ref="G294:I294"/>
    <mergeCell ref="N294:O294"/>
    <mergeCell ref="A307:O307"/>
    <mergeCell ref="N306:O306"/>
    <mergeCell ref="G301:I301"/>
    <mergeCell ref="N301:O301"/>
    <mergeCell ref="G302:I302"/>
    <mergeCell ref="G295:I295"/>
    <mergeCell ref="N295:O295"/>
    <mergeCell ref="G296:I296"/>
    <mergeCell ref="N296:O296"/>
    <mergeCell ref="G297:I297"/>
    <mergeCell ref="N297:O297"/>
    <mergeCell ref="G298:I298"/>
    <mergeCell ref="N298:O298"/>
    <mergeCell ref="G299:I299"/>
    <mergeCell ref="N299:O299"/>
    <mergeCell ref="G300:I300"/>
    <mergeCell ref="N300:O300"/>
    <mergeCell ref="G278:I278"/>
    <mergeCell ref="N278:O278"/>
    <mergeCell ref="G279:I279"/>
    <mergeCell ref="N279:O279"/>
    <mergeCell ref="G280:I280"/>
    <mergeCell ref="N280:O280"/>
    <mergeCell ref="G281:I281"/>
    <mergeCell ref="N281:O281"/>
    <mergeCell ref="G282:I282"/>
    <mergeCell ref="N282:O282"/>
    <mergeCell ref="N288:O288"/>
    <mergeCell ref="G283:I283"/>
    <mergeCell ref="N283:O283"/>
    <mergeCell ref="G284:I284"/>
    <mergeCell ref="N284:O284"/>
    <mergeCell ref="G285:I285"/>
    <mergeCell ref="N285:O285"/>
    <mergeCell ref="G269:I269"/>
    <mergeCell ref="N269:O269"/>
    <mergeCell ref="G270:I270"/>
    <mergeCell ref="N270:O270"/>
    <mergeCell ref="G271:I271"/>
    <mergeCell ref="N271:O271"/>
    <mergeCell ref="G272:I272"/>
    <mergeCell ref="N272:O272"/>
    <mergeCell ref="G273:I273"/>
    <mergeCell ref="N273:O273"/>
    <mergeCell ref="G274:I274"/>
    <mergeCell ref="N274:O274"/>
    <mergeCell ref="G275:I275"/>
    <mergeCell ref="N275:O275"/>
    <mergeCell ref="G276:I276"/>
    <mergeCell ref="N276:O276"/>
    <mergeCell ref="G277:I277"/>
    <mergeCell ref="N277:O277"/>
    <mergeCell ref="G260:I260"/>
    <mergeCell ref="N260:O260"/>
    <mergeCell ref="G261:I261"/>
    <mergeCell ref="N261:O261"/>
    <mergeCell ref="G262:I262"/>
    <mergeCell ref="N262:O262"/>
    <mergeCell ref="G263:I263"/>
    <mergeCell ref="N263:O263"/>
    <mergeCell ref="G264:I264"/>
    <mergeCell ref="N264:O264"/>
    <mergeCell ref="G265:I265"/>
    <mergeCell ref="N265:O265"/>
    <mergeCell ref="G266:I266"/>
    <mergeCell ref="N266:O266"/>
    <mergeCell ref="G267:I267"/>
    <mergeCell ref="N267:O267"/>
    <mergeCell ref="G268:I268"/>
    <mergeCell ref="N268:O268"/>
    <mergeCell ref="G251:I251"/>
    <mergeCell ref="N251:O251"/>
    <mergeCell ref="G252:I252"/>
    <mergeCell ref="N252:O252"/>
    <mergeCell ref="G253:I253"/>
    <mergeCell ref="N253:O253"/>
    <mergeCell ref="G254:I254"/>
    <mergeCell ref="N254:O254"/>
    <mergeCell ref="G255:I255"/>
    <mergeCell ref="N255:O255"/>
    <mergeCell ref="G256:I256"/>
    <mergeCell ref="N256:O256"/>
    <mergeCell ref="G257:I257"/>
    <mergeCell ref="N257:O257"/>
    <mergeCell ref="G258:I258"/>
    <mergeCell ref="N258:O258"/>
    <mergeCell ref="G259:I259"/>
    <mergeCell ref="N259:O259"/>
    <mergeCell ref="G242:I242"/>
    <mergeCell ref="N242:O242"/>
    <mergeCell ref="G243:I243"/>
    <mergeCell ref="N243:O243"/>
    <mergeCell ref="G244:I244"/>
    <mergeCell ref="N244:O244"/>
    <mergeCell ref="G245:I245"/>
    <mergeCell ref="N245:O245"/>
    <mergeCell ref="G246:I246"/>
    <mergeCell ref="N246:O246"/>
    <mergeCell ref="G247:I247"/>
    <mergeCell ref="N247:O247"/>
    <mergeCell ref="G248:I248"/>
    <mergeCell ref="N248:O248"/>
    <mergeCell ref="G249:I249"/>
    <mergeCell ref="N249:O249"/>
    <mergeCell ref="G250:I250"/>
    <mergeCell ref="N250:O250"/>
    <mergeCell ref="G233:I233"/>
    <mergeCell ref="N233:O233"/>
    <mergeCell ref="G234:I234"/>
    <mergeCell ref="N234:O234"/>
    <mergeCell ref="G235:I235"/>
    <mergeCell ref="N235:O235"/>
    <mergeCell ref="G236:I236"/>
    <mergeCell ref="N236:O236"/>
    <mergeCell ref="G237:I237"/>
    <mergeCell ref="N237:O237"/>
    <mergeCell ref="G238:I238"/>
    <mergeCell ref="N238:O238"/>
    <mergeCell ref="G239:I239"/>
    <mergeCell ref="N239:O239"/>
    <mergeCell ref="G240:I240"/>
    <mergeCell ref="N240:O240"/>
    <mergeCell ref="G241:I241"/>
    <mergeCell ref="N241:O241"/>
    <mergeCell ref="G224:I224"/>
    <mergeCell ref="N224:O224"/>
    <mergeCell ref="G225:I225"/>
    <mergeCell ref="N225:O225"/>
    <mergeCell ref="G226:I226"/>
    <mergeCell ref="N226:O226"/>
    <mergeCell ref="G227:I227"/>
    <mergeCell ref="N227:O227"/>
    <mergeCell ref="G228:I228"/>
    <mergeCell ref="N228:O228"/>
    <mergeCell ref="G229:I229"/>
    <mergeCell ref="N229:O229"/>
    <mergeCell ref="G230:I230"/>
    <mergeCell ref="N230:O230"/>
    <mergeCell ref="G231:I231"/>
    <mergeCell ref="N231:O231"/>
    <mergeCell ref="G232:I232"/>
    <mergeCell ref="N232:O232"/>
    <mergeCell ref="G215:I215"/>
    <mergeCell ref="N215:O215"/>
    <mergeCell ref="G216:I216"/>
    <mergeCell ref="N216:O216"/>
    <mergeCell ref="G217:I217"/>
    <mergeCell ref="N217:O217"/>
    <mergeCell ref="G218:I218"/>
    <mergeCell ref="N218:O218"/>
    <mergeCell ref="G219:I219"/>
    <mergeCell ref="N219:O219"/>
    <mergeCell ref="G220:I220"/>
    <mergeCell ref="N220:O220"/>
    <mergeCell ref="G221:I221"/>
    <mergeCell ref="N221:O221"/>
    <mergeCell ref="G222:I222"/>
    <mergeCell ref="N222:O222"/>
    <mergeCell ref="G223:I223"/>
    <mergeCell ref="N223:O223"/>
    <mergeCell ref="G206:I206"/>
    <mergeCell ref="N206:O206"/>
    <mergeCell ref="G207:I207"/>
    <mergeCell ref="N207:O207"/>
    <mergeCell ref="G208:I208"/>
    <mergeCell ref="N208:O208"/>
    <mergeCell ref="G209:I209"/>
    <mergeCell ref="N209:O209"/>
    <mergeCell ref="G210:I210"/>
    <mergeCell ref="N210:O210"/>
    <mergeCell ref="G211:I211"/>
    <mergeCell ref="N211:O211"/>
    <mergeCell ref="G212:I212"/>
    <mergeCell ref="N212:O212"/>
    <mergeCell ref="G213:I213"/>
    <mergeCell ref="N213:O213"/>
    <mergeCell ref="G214:I214"/>
    <mergeCell ref="N214:O214"/>
    <mergeCell ref="G197:I197"/>
    <mergeCell ref="N197:O197"/>
    <mergeCell ref="G198:I198"/>
    <mergeCell ref="N198:O198"/>
    <mergeCell ref="G199:I199"/>
    <mergeCell ref="N199:O199"/>
    <mergeCell ref="G200:I200"/>
    <mergeCell ref="N200:O200"/>
    <mergeCell ref="G201:I201"/>
    <mergeCell ref="N201:O201"/>
    <mergeCell ref="G202:I202"/>
    <mergeCell ref="N202:O202"/>
    <mergeCell ref="G203:I203"/>
    <mergeCell ref="N203:O203"/>
    <mergeCell ref="G204:I204"/>
    <mergeCell ref="N204:O204"/>
    <mergeCell ref="G205:I205"/>
    <mergeCell ref="N205:O205"/>
    <mergeCell ref="G188:I188"/>
    <mergeCell ref="N188:O188"/>
    <mergeCell ref="G189:I189"/>
    <mergeCell ref="N189:O189"/>
    <mergeCell ref="G190:I190"/>
    <mergeCell ref="N190:O190"/>
    <mergeCell ref="G191:I191"/>
    <mergeCell ref="N191:O191"/>
    <mergeCell ref="G192:I192"/>
    <mergeCell ref="N192:O192"/>
    <mergeCell ref="G193:I193"/>
    <mergeCell ref="N193:O193"/>
    <mergeCell ref="G194:I194"/>
    <mergeCell ref="N194:O194"/>
    <mergeCell ref="G195:I195"/>
    <mergeCell ref="N195:O195"/>
    <mergeCell ref="G196:I196"/>
    <mergeCell ref="N196:O196"/>
    <mergeCell ref="G179:I179"/>
    <mergeCell ref="N179:O179"/>
    <mergeCell ref="G180:I180"/>
    <mergeCell ref="N180:O180"/>
    <mergeCell ref="G181:I181"/>
    <mergeCell ref="N181:O181"/>
    <mergeCell ref="G182:I182"/>
    <mergeCell ref="N182:O182"/>
    <mergeCell ref="G183:I183"/>
    <mergeCell ref="N183:O183"/>
    <mergeCell ref="G184:I184"/>
    <mergeCell ref="N184:O184"/>
    <mergeCell ref="G185:I185"/>
    <mergeCell ref="N185:O185"/>
    <mergeCell ref="G186:I186"/>
    <mergeCell ref="N186:O186"/>
    <mergeCell ref="G187:I187"/>
    <mergeCell ref="N187:O187"/>
    <mergeCell ref="G170:I170"/>
    <mergeCell ref="N170:O170"/>
    <mergeCell ref="G171:I171"/>
    <mergeCell ref="N171:O171"/>
    <mergeCell ref="G172:I172"/>
    <mergeCell ref="N172:O172"/>
    <mergeCell ref="G173:I173"/>
    <mergeCell ref="N173:O173"/>
    <mergeCell ref="G174:I174"/>
    <mergeCell ref="N174:O174"/>
    <mergeCell ref="G175:I175"/>
    <mergeCell ref="N175:O175"/>
    <mergeCell ref="G176:I176"/>
    <mergeCell ref="N176:O176"/>
    <mergeCell ref="G177:I177"/>
    <mergeCell ref="N177:O177"/>
    <mergeCell ref="G178:I178"/>
    <mergeCell ref="N178:O178"/>
    <mergeCell ref="G161:I161"/>
    <mergeCell ref="N161:O161"/>
    <mergeCell ref="G162:I162"/>
    <mergeCell ref="N162:O162"/>
    <mergeCell ref="G163:I163"/>
    <mergeCell ref="N163:O163"/>
    <mergeCell ref="G164:I164"/>
    <mergeCell ref="N164:O164"/>
    <mergeCell ref="G165:I165"/>
    <mergeCell ref="N165:O165"/>
    <mergeCell ref="G166:I166"/>
    <mergeCell ref="N166:O166"/>
    <mergeCell ref="G167:I167"/>
    <mergeCell ref="N167:O167"/>
    <mergeCell ref="G168:I168"/>
    <mergeCell ref="N168:O168"/>
    <mergeCell ref="G169:I169"/>
    <mergeCell ref="N169:O169"/>
    <mergeCell ref="G152:I152"/>
    <mergeCell ref="N152:O152"/>
    <mergeCell ref="G153:I153"/>
    <mergeCell ref="N153:O153"/>
    <mergeCell ref="G154:I154"/>
    <mergeCell ref="N154:O154"/>
    <mergeCell ref="G155:I155"/>
    <mergeCell ref="N155:O155"/>
    <mergeCell ref="G156:I156"/>
    <mergeCell ref="N156:O156"/>
    <mergeCell ref="G157:I157"/>
    <mergeCell ref="N157:O157"/>
    <mergeCell ref="G158:I158"/>
    <mergeCell ref="N158:O158"/>
    <mergeCell ref="G159:I159"/>
    <mergeCell ref="N159:O159"/>
    <mergeCell ref="G160:I160"/>
    <mergeCell ref="N160:O160"/>
    <mergeCell ref="G143:I143"/>
    <mergeCell ref="N143:O143"/>
    <mergeCell ref="G144:I144"/>
    <mergeCell ref="N144:O144"/>
    <mergeCell ref="G145:I145"/>
    <mergeCell ref="N145:O145"/>
    <mergeCell ref="G146:I146"/>
    <mergeCell ref="N146:O146"/>
    <mergeCell ref="G147:I147"/>
    <mergeCell ref="N147:O147"/>
    <mergeCell ref="G148:I148"/>
    <mergeCell ref="N148:O148"/>
    <mergeCell ref="G149:I149"/>
    <mergeCell ref="N149:O149"/>
    <mergeCell ref="G150:I150"/>
    <mergeCell ref="N150:O150"/>
    <mergeCell ref="G151:I151"/>
    <mergeCell ref="N151:O151"/>
    <mergeCell ref="G134:I134"/>
    <mergeCell ref="N134:O134"/>
    <mergeCell ref="G135:I135"/>
    <mergeCell ref="N135:O135"/>
    <mergeCell ref="G136:I136"/>
    <mergeCell ref="N136:O136"/>
    <mergeCell ref="G137:I137"/>
    <mergeCell ref="N137:O137"/>
    <mergeCell ref="G138:I138"/>
    <mergeCell ref="N138:O138"/>
    <mergeCell ref="G139:I139"/>
    <mergeCell ref="N139:O139"/>
    <mergeCell ref="G140:I140"/>
    <mergeCell ref="N140:O140"/>
    <mergeCell ref="G141:I141"/>
    <mergeCell ref="N141:O141"/>
    <mergeCell ref="G142:I142"/>
    <mergeCell ref="N142:O142"/>
    <mergeCell ref="G125:I125"/>
    <mergeCell ref="N125:O125"/>
    <mergeCell ref="G126:I126"/>
    <mergeCell ref="N126:O126"/>
    <mergeCell ref="G127:I127"/>
    <mergeCell ref="N127:O127"/>
    <mergeCell ref="G128:I128"/>
    <mergeCell ref="N128:O128"/>
    <mergeCell ref="G129:I129"/>
    <mergeCell ref="N129:O129"/>
    <mergeCell ref="G130:I130"/>
    <mergeCell ref="N130:O130"/>
    <mergeCell ref="G131:I131"/>
    <mergeCell ref="N131:O131"/>
    <mergeCell ref="G132:I132"/>
    <mergeCell ref="N132:O132"/>
    <mergeCell ref="G133:I133"/>
    <mergeCell ref="N133:O133"/>
    <mergeCell ref="G116:I116"/>
    <mergeCell ref="N116:O116"/>
    <mergeCell ref="G117:I117"/>
    <mergeCell ref="N117:O117"/>
    <mergeCell ref="G118:I118"/>
    <mergeCell ref="N118:O118"/>
    <mergeCell ref="G119:I119"/>
    <mergeCell ref="N119:O119"/>
    <mergeCell ref="G120:I120"/>
    <mergeCell ref="N120:O120"/>
    <mergeCell ref="G121:I121"/>
    <mergeCell ref="N121:O121"/>
    <mergeCell ref="G122:I122"/>
    <mergeCell ref="N122:O122"/>
    <mergeCell ref="G123:I123"/>
    <mergeCell ref="N123:O123"/>
    <mergeCell ref="G124:I124"/>
    <mergeCell ref="N124:O124"/>
    <mergeCell ref="G107:I107"/>
    <mergeCell ref="N107:O107"/>
    <mergeCell ref="G108:I108"/>
    <mergeCell ref="N108:O108"/>
    <mergeCell ref="G109:I109"/>
    <mergeCell ref="N109:O109"/>
    <mergeCell ref="G110:I110"/>
    <mergeCell ref="N110:O110"/>
    <mergeCell ref="G111:I111"/>
    <mergeCell ref="N111:O111"/>
    <mergeCell ref="G112:I112"/>
    <mergeCell ref="N112:O112"/>
    <mergeCell ref="G113:I113"/>
    <mergeCell ref="N113:O113"/>
    <mergeCell ref="G114:I114"/>
    <mergeCell ref="N114:O114"/>
    <mergeCell ref="G115:I115"/>
    <mergeCell ref="N115:O115"/>
    <mergeCell ref="G98:I98"/>
    <mergeCell ref="N98:O98"/>
    <mergeCell ref="G99:I99"/>
    <mergeCell ref="N99:O99"/>
    <mergeCell ref="G100:I100"/>
    <mergeCell ref="N100:O100"/>
    <mergeCell ref="G101:I101"/>
    <mergeCell ref="N101:O101"/>
    <mergeCell ref="G102:I102"/>
    <mergeCell ref="N102:O102"/>
    <mergeCell ref="G103:I103"/>
    <mergeCell ref="N103:O103"/>
    <mergeCell ref="G104:I104"/>
    <mergeCell ref="N104:O104"/>
    <mergeCell ref="G105:I105"/>
    <mergeCell ref="N105:O105"/>
    <mergeCell ref="G106:I106"/>
    <mergeCell ref="N106:O106"/>
    <mergeCell ref="G89:I89"/>
    <mergeCell ref="N89:O89"/>
    <mergeCell ref="G90:I90"/>
    <mergeCell ref="N90:O90"/>
    <mergeCell ref="G91:I91"/>
    <mergeCell ref="N91:O91"/>
    <mergeCell ref="G92:I92"/>
    <mergeCell ref="N92:O92"/>
    <mergeCell ref="G93:I93"/>
    <mergeCell ref="N93:O93"/>
    <mergeCell ref="G94:I94"/>
    <mergeCell ref="N94:O94"/>
    <mergeCell ref="G95:I95"/>
    <mergeCell ref="N95:O95"/>
    <mergeCell ref="G96:I96"/>
    <mergeCell ref="N96:O96"/>
    <mergeCell ref="G97:I97"/>
    <mergeCell ref="N97:O97"/>
    <mergeCell ref="G80:I80"/>
    <mergeCell ref="N80:O80"/>
    <mergeCell ref="G81:I81"/>
    <mergeCell ref="N81:O81"/>
    <mergeCell ref="G82:I82"/>
    <mergeCell ref="N82:O82"/>
    <mergeCell ref="G83:I83"/>
    <mergeCell ref="N83:O83"/>
    <mergeCell ref="G84:I84"/>
    <mergeCell ref="N84:O84"/>
    <mergeCell ref="G85:I85"/>
    <mergeCell ref="N85:O85"/>
    <mergeCell ref="G86:I86"/>
    <mergeCell ref="N86:O86"/>
    <mergeCell ref="G87:I87"/>
    <mergeCell ref="N87:O87"/>
    <mergeCell ref="G88:I88"/>
    <mergeCell ref="N88:O88"/>
    <mergeCell ref="G71:I71"/>
    <mergeCell ref="N71:O71"/>
    <mergeCell ref="G72:I72"/>
    <mergeCell ref="N72:O72"/>
    <mergeCell ref="G73:I73"/>
    <mergeCell ref="N73:O73"/>
    <mergeCell ref="G74:I74"/>
    <mergeCell ref="N74:O74"/>
    <mergeCell ref="G75:I75"/>
    <mergeCell ref="N75:O75"/>
    <mergeCell ref="G76:I76"/>
    <mergeCell ref="N76:O76"/>
    <mergeCell ref="G77:I77"/>
    <mergeCell ref="N77:O77"/>
    <mergeCell ref="G78:I78"/>
    <mergeCell ref="N78:O78"/>
    <mergeCell ref="G79:I79"/>
    <mergeCell ref="N79:O79"/>
    <mergeCell ref="G62:I62"/>
    <mergeCell ref="N62:O62"/>
    <mergeCell ref="G63:I63"/>
    <mergeCell ref="N63:O63"/>
    <mergeCell ref="G64:I64"/>
    <mergeCell ref="N64:O64"/>
    <mergeCell ref="G65:I65"/>
    <mergeCell ref="N65:O65"/>
    <mergeCell ref="G66:I66"/>
    <mergeCell ref="N66:O66"/>
    <mergeCell ref="G67:I67"/>
    <mergeCell ref="N67:O67"/>
    <mergeCell ref="G68:I68"/>
    <mergeCell ref="N68:O68"/>
    <mergeCell ref="G69:I69"/>
    <mergeCell ref="N69:O69"/>
    <mergeCell ref="G70:I70"/>
    <mergeCell ref="N70:O70"/>
    <mergeCell ref="G53:I53"/>
    <mergeCell ref="N53:O53"/>
    <mergeCell ref="G54:I54"/>
    <mergeCell ref="N54:O54"/>
    <mergeCell ref="G55:I55"/>
    <mergeCell ref="N55:O55"/>
    <mergeCell ref="G56:I56"/>
    <mergeCell ref="N56:O56"/>
    <mergeCell ref="G57:I57"/>
    <mergeCell ref="N57:O57"/>
    <mergeCell ref="G58:I58"/>
    <mergeCell ref="N58:O58"/>
    <mergeCell ref="G59:I59"/>
    <mergeCell ref="N59:O59"/>
    <mergeCell ref="G60:I60"/>
    <mergeCell ref="N60:O60"/>
    <mergeCell ref="G61:I61"/>
    <mergeCell ref="N61:O61"/>
    <mergeCell ref="G44:I44"/>
    <mergeCell ref="N44:O44"/>
    <mergeCell ref="G45:I45"/>
    <mergeCell ref="N45:O45"/>
    <mergeCell ref="G46:I46"/>
    <mergeCell ref="N46:O46"/>
    <mergeCell ref="G47:I47"/>
    <mergeCell ref="N47:O47"/>
    <mergeCell ref="G48:I48"/>
    <mergeCell ref="N48:O48"/>
    <mergeCell ref="G49:I49"/>
    <mergeCell ref="N49:O49"/>
    <mergeCell ref="G50:I50"/>
    <mergeCell ref="N50:O50"/>
    <mergeCell ref="G51:I51"/>
    <mergeCell ref="N51:O51"/>
    <mergeCell ref="G52:I52"/>
    <mergeCell ref="N52:O52"/>
    <mergeCell ref="G35:I35"/>
    <mergeCell ref="N35:O35"/>
    <mergeCell ref="G36:I36"/>
    <mergeCell ref="N36:O36"/>
    <mergeCell ref="G37:I37"/>
    <mergeCell ref="N37:O37"/>
    <mergeCell ref="G38:I38"/>
    <mergeCell ref="N38:O38"/>
    <mergeCell ref="G39:I39"/>
    <mergeCell ref="N39:O39"/>
    <mergeCell ref="G40:I40"/>
    <mergeCell ref="N40:O40"/>
    <mergeCell ref="G41:I41"/>
    <mergeCell ref="N41:O41"/>
    <mergeCell ref="G42:I42"/>
    <mergeCell ref="N42:O42"/>
    <mergeCell ref="G43:I43"/>
    <mergeCell ref="N43:O43"/>
    <mergeCell ref="G29:I29"/>
    <mergeCell ref="N29:O29"/>
    <mergeCell ref="G30:I30"/>
    <mergeCell ref="N30:O30"/>
    <mergeCell ref="A25:O25"/>
    <mergeCell ref="G26:I26"/>
    <mergeCell ref="N26:O26"/>
    <mergeCell ref="G27:I27"/>
    <mergeCell ref="N27:O27"/>
    <mergeCell ref="G31:I31"/>
    <mergeCell ref="N31:O31"/>
    <mergeCell ref="G32:I32"/>
    <mergeCell ref="N32:O32"/>
    <mergeCell ref="G33:I33"/>
    <mergeCell ref="N33:O33"/>
    <mergeCell ref="G34:I34"/>
    <mergeCell ref="N34:O34"/>
    <mergeCell ref="A1:G2"/>
    <mergeCell ref="I1:N1"/>
    <mergeCell ref="I2:N3"/>
    <mergeCell ref="A5:G6"/>
    <mergeCell ref="I6:N7"/>
    <mergeCell ref="G28:I28"/>
    <mergeCell ref="N28:O28"/>
    <mergeCell ref="A22:B22"/>
    <mergeCell ref="G22:I22"/>
    <mergeCell ref="N22:O22"/>
    <mergeCell ref="A15:O15"/>
    <mergeCell ref="A16:O16"/>
    <mergeCell ref="A17:O17"/>
    <mergeCell ref="G18:I18"/>
    <mergeCell ref="N18:O18"/>
    <mergeCell ref="A9:G9"/>
    <mergeCell ref="A12:O12"/>
    <mergeCell ref="A13:O13"/>
    <mergeCell ref="G14:I14"/>
    <mergeCell ref="N14:O14"/>
    <mergeCell ref="A23:O23"/>
    <mergeCell ref="A24:O24"/>
    <mergeCell ref="G19:I19"/>
    <mergeCell ref="N19:O19"/>
    <mergeCell ref="G20:I20"/>
    <mergeCell ref="N20:O20"/>
    <mergeCell ref="G21:I21"/>
    <mergeCell ref="N21:O21"/>
  </mergeCells>
  <pageMargins left="0.41667007874015699" right="0.41667007874015699" top="0.41667007874015699" bottom="0.33333000000000002" header="0.41667007874015699" footer="0.33333000000000002"/>
  <pageSetup paperSize="9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6AD431AC1C5E419A5CC19EF11653C7" ma:contentTypeVersion="4" ma:contentTypeDescription="Skapa ett nytt dokument." ma:contentTypeScope="" ma:versionID="bd5488eeaac56513f64798a174670665">
  <xsd:schema xmlns:xsd="http://www.w3.org/2001/XMLSchema" xmlns:xs="http://www.w3.org/2001/XMLSchema" xmlns:p="http://schemas.microsoft.com/office/2006/metadata/properties" xmlns:ns2="d4ab37c0-f16b-4663-bcb3-4acc59a49e4b" xmlns:ns3="ffcdd43c-4a88-4c51-be5f-9f29004498e9" targetNamespace="http://schemas.microsoft.com/office/2006/metadata/properties" ma:root="true" ma:fieldsID="a325a8df1f53fc644a5742207db72738" ns2:_="" ns3:_="">
    <xsd:import namespace="d4ab37c0-f16b-4663-bcb3-4acc59a49e4b"/>
    <xsd:import namespace="ffcdd43c-4a88-4c51-be5f-9f2900449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b37c0-f16b-4663-bcb3-4acc59a49e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d43c-4a88-4c51-be5f-9f29004498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CBE195-3C3C-4104-9820-98BEECC12B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B1B173-CF25-40F3-BED8-BB67D45D0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b37c0-f16b-4663-bcb3-4acc59a49e4b"/>
    <ds:schemaRef ds:uri="ffcdd43c-4a88-4c51-be5f-9f2900449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AA1BD0-AC8D-4E3B-B356-77E9E0F2EAA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11</vt:i4>
      </vt:variant>
    </vt:vector>
  </HeadingPairs>
  <TitlesOfParts>
    <vt:vector size="26" baseType="lpstr">
      <vt:lpstr>Investeringar</vt:lpstr>
      <vt:lpstr>Uträkning</vt:lpstr>
      <vt:lpstr>ANL budget</vt:lpstr>
      <vt:lpstr>2022</vt:lpstr>
      <vt:lpstr>2023</vt:lpstr>
      <vt:lpstr>2024</vt:lpstr>
      <vt:lpstr>2025</vt:lpstr>
      <vt:lpstr>2026</vt:lpstr>
      <vt:lpstr>2027</vt:lpstr>
      <vt:lpstr>2028</vt:lpstr>
      <vt:lpstr>2029</vt:lpstr>
      <vt:lpstr>2030</vt:lpstr>
      <vt:lpstr>2031</vt:lpstr>
      <vt:lpstr>2032</vt:lpstr>
      <vt:lpstr>Lista</vt:lpstr>
      <vt:lpstr>'2022'!Utskriftsrubriker</vt:lpstr>
      <vt:lpstr>'2023'!Utskriftsrubriker</vt:lpstr>
      <vt:lpstr>'2024'!Utskriftsrubriker</vt:lpstr>
      <vt:lpstr>'2025'!Utskriftsrubriker</vt:lpstr>
      <vt:lpstr>'2026'!Utskriftsrubriker</vt:lpstr>
      <vt:lpstr>'2027'!Utskriftsrubriker</vt:lpstr>
      <vt:lpstr>'2028'!Utskriftsrubriker</vt:lpstr>
      <vt:lpstr>'2029'!Utskriftsrubriker</vt:lpstr>
      <vt:lpstr>'2030'!Utskriftsrubriker</vt:lpstr>
      <vt:lpstr>'2031'!Utskriftsrubriker</vt:lpstr>
      <vt:lpstr>'2032'!Utskriftsrubriker</vt:lpstr>
    </vt:vector>
  </TitlesOfParts>
  <Manager/>
  <Company>Göteborgs 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malkal1001</dc:creator>
  <cp:keywords/>
  <dc:description/>
  <cp:lastModifiedBy>Frida Hagenius</cp:lastModifiedBy>
  <cp:revision/>
  <cp:lastPrinted>2022-02-02T18:53:39Z</cp:lastPrinted>
  <dcterms:created xsi:type="dcterms:W3CDTF">2014-10-29T08:16:18Z</dcterms:created>
  <dcterms:modified xsi:type="dcterms:W3CDTF">2022-02-02T18:53:52Z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0x010100306AD431AC1C5E419A5CC19EF11653C7</vt:lpwstr>
  </property>
</Properties>
</file>